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4385" yWindow="-15" windowWidth="14430" windowHeight="12855" firstSheet="1" activeTab="2"/>
  </bookViews>
  <sheets>
    <sheet name="P.ACCION SEPTIEMBRE" sheetId="4" r:id="rId1"/>
    <sheet name="P.ACCION SEPTIEMBRE (2)" sheetId="5" r:id="rId2"/>
    <sheet name="P.ACCION SEPTIEMBRE CONSOLIDADO" sheetId="6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xlnm.Print_Titles" localSheetId="0">'P.ACCION SEPTIEMBRE'!$C:$F,'P.ACCION SEPTIEMBRE'!$1:$3</definedName>
    <definedName name="_xlnm.Print_Titles" localSheetId="1">'P.ACCION SEPTIEMBRE (2)'!$C:$F,'P.ACCION SEPTIEMBRE (2)'!$1:$3</definedName>
    <definedName name="_xlnm.Print_Titles" localSheetId="2">'P.ACCION SEPTIEMBRE CONSOLIDADO'!$C:$F,'P.ACCION SEPTIEMBRE CONSOLIDADO'!$1:$3</definedName>
  </definedNames>
  <calcPr calcId="144525"/>
</workbook>
</file>

<file path=xl/calcChain.xml><?xml version="1.0" encoding="utf-8"?>
<calcChain xmlns="http://schemas.openxmlformats.org/spreadsheetml/2006/main">
  <c r="DL147" i="6" l="1"/>
  <c r="DL149" i="6"/>
  <c r="DL141" i="6"/>
  <c r="DL142" i="6"/>
  <c r="DL143" i="6"/>
  <c r="DL144" i="6"/>
  <c r="DL145" i="6"/>
  <c r="DL146" i="6"/>
  <c r="DL140" i="6"/>
  <c r="DM21" i="6"/>
  <c r="DM22" i="6"/>
  <c r="DM23" i="6"/>
  <c r="DM24" i="6"/>
  <c r="DM25" i="6"/>
  <c r="DM28" i="6"/>
  <c r="DM29" i="6"/>
  <c r="DM30" i="6"/>
  <c r="DM31" i="6"/>
  <c r="DM32" i="6"/>
  <c r="DM33" i="6"/>
  <c r="DM34" i="6"/>
  <c r="DM35" i="6"/>
  <c r="DM36" i="6"/>
  <c r="DM37" i="6"/>
  <c r="DM38" i="6"/>
  <c r="DM39" i="6"/>
  <c r="DM42" i="6"/>
  <c r="DM43" i="6"/>
  <c r="DM44" i="6"/>
  <c r="DM45" i="6"/>
  <c r="DM48" i="6"/>
  <c r="DM52" i="6"/>
  <c r="DM53" i="6"/>
  <c r="DM54" i="6"/>
  <c r="DM57" i="6"/>
  <c r="DM58" i="6"/>
  <c r="DM61" i="6"/>
  <c r="DM62" i="6"/>
  <c r="DM64" i="6"/>
  <c r="DM65" i="6"/>
  <c r="DM66" i="6"/>
  <c r="DM67" i="6"/>
  <c r="DM68" i="6"/>
  <c r="DM69" i="6"/>
  <c r="DM70" i="6"/>
  <c r="DM71" i="6"/>
  <c r="DM72" i="6"/>
  <c r="DM73" i="6"/>
  <c r="DM74" i="6"/>
  <c r="DM76" i="6"/>
  <c r="DM77" i="6"/>
  <c r="DM78" i="6"/>
  <c r="DM81" i="6"/>
  <c r="DM83" i="6"/>
  <c r="DM84" i="6"/>
  <c r="DM86" i="6"/>
  <c r="DM87" i="6"/>
  <c r="DM88" i="6"/>
  <c r="DM89" i="6"/>
  <c r="DM90" i="6"/>
  <c r="DM91" i="6"/>
  <c r="DM92" i="6"/>
  <c r="DM94" i="6"/>
  <c r="DM95" i="6"/>
  <c r="DM98" i="6"/>
  <c r="DM100" i="6"/>
  <c r="DM101" i="6"/>
  <c r="DM102" i="6"/>
  <c r="DM103" i="6"/>
  <c r="DM104" i="6"/>
  <c r="DM108" i="6"/>
  <c r="DM110" i="6"/>
  <c r="DM111" i="6"/>
  <c r="DM112" i="6"/>
  <c r="DM118" i="6"/>
  <c r="DM119" i="6"/>
  <c r="DM122" i="6"/>
  <c r="DM123" i="6"/>
  <c r="DM124" i="6"/>
  <c r="DM125" i="6"/>
  <c r="DM129" i="6"/>
  <c r="DM131" i="6"/>
  <c r="DL135" i="6"/>
  <c r="DL21" i="6"/>
  <c r="DL22" i="6"/>
  <c r="DL23" i="6"/>
  <c r="DL24" i="6"/>
  <c r="DL25" i="6"/>
  <c r="DL26" i="6"/>
  <c r="DL27" i="6"/>
  <c r="DL28" i="6"/>
  <c r="DL29" i="6"/>
  <c r="DL30" i="6"/>
  <c r="DL31" i="6"/>
  <c r="DL32" i="6"/>
  <c r="DL33" i="6"/>
  <c r="DL34" i="6"/>
  <c r="DL35" i="6"/>
  <c r="DL36" i="6"/>
  <c r="DL37" i="6"/>
  <c r="DL38" i="6"/>
  <c r="DL39" i="6"/>
  <c r="DL40" i="6"/>
  <c r="DL41" i="6"/>
  <c r="DL42" i="6"/>
  <c r="DL43" i="6"/>
  <c r="DL44" i="6"/>
  <c r="DL45" i="6"/>
  <c r="DL46" i="6"/>
  <c r="DL47" i="6"/>
  <c r="DL48" i="6"/>
  <c r="DL49" i="6"/>
  <c r="DL50" i="6"/>
  <c r="DL51" i="6"/>
  <c r="DL52" i="6"/>
  <c r="DL53" i="6"/>
  <c r="DL54" i="6"/>
  <c r="DL55" i="6"/>
  <c r="DL56" i="6"/>
  <c r="DL57" i="6"/>
  <c r="DL58" i="6"/>
  <c r="DL59" i="6"/>
  <c r="DL60" i="6"/>
  <c r="DL61" i="6"/>
  <c r="DL62" i="6"/>
  <c r="DL63" i="6"/>
  <c r="DL64" i="6"/>
  <c r="DL65" i="6"/>
  <c r="DL66" i="6"/>
  <c r="DL67" i="6"/>
  <c r="DL68" i="6"/>
  <c r="DL69" i="6"/>
  <c r="DL70" i="6"/>
  <c r="DL71" i="6"/>
  <c r="DL72" i="6"/>
  <c r="DL73" i="6"/>
  <c r="DL74" i="6"/>
  <c r="DL75" i="6"/>
  <c r="DL76" i="6"/>
  <c r="DL77" i="6"/>
  <c r="DL78" i="6"/>
  <c r="DL79" i="6"/>
  <c r="DL80" i="6"/>
  <c r="DL81" i="6"/>
  <c r="DL82" i="6"/>
  <c r="DL83" i="6"/>
  <c r="DL84" i="6"/>
  <c r="DL85" i="6"/>
  <c r="DL86" i="6"/>
  <c r="DL87" i="6"/>
  <c r="DL88" i="6"/>
  <c r="DL89" i="6"/>
  <c r="DL90" i="6"/>
  <c r="DL91" i="6"/>
  <c r="DL92" i="6"/>
  <c r="DL93" i="6"/>
  <c r="DL94" i="6"/>
  <c r="DL95" i="6"/>
  <c r="DL96" i="6"/>
  <c r="DL97" i="6"/>
  <c r="DL98" i="6"/>
  <c r="DL99" i="6"/>
  <c r="DL100" i="6"/>
  <c r="DL101" i="6"/>
  <c r="DL102" i="6"/>
  <c r="DL103" i="6"/>
  <c r="DL104" i="6"/>
  <c r="DL105" i="6"/>
  <c r="DL106" i="6"/>
  <c r="DL107" i="6"/>
  <c r="DL108" i="6"/>
  <c r="DL109" i="6"/>
  <c r="DL110" i="6"/>
  <c r="DL111" i="6"/>
  <c r="DL112" i="6"/>
  <c r="DL113" i="6"/>
  <c r="DL114" i="6"/>
  <c r="DL115" i="6"/>
  <c r="DL116" i="6"/>
  <c r="DL117" i="6"/>
  <c r="DL118" i="6"/>
  <c r="DL119" i="6"/>
  <c r="DL120" i="6"/>
  <c r="DL121" i="6"/>
  <c r="DL122" i="6"/>
  <c r="DL123" i="6"/>
  <c r="DL124" i="6"/>
  <c r="DL125" i="6"/>
  <c r="DL126" i="6"/>
  <c r="DL127" i="6"/>
  <c r="DL128" i="6"/>
  <c r="DL129" i="6"/>
  <c r="DL130" i="6"/>
  <c r="DL131" i="6"/>
  <c r="DL132" i="6"/>
  <c r="DL133" i="6"/>
  <c r="DL20" i="6"/>
  <c r="DN124" i="6"/>
  <c r="DN123" i="6"/>
  <c r="DN122" i="6"/>
  <c r="DN119" i="6"/>
  <c r="DN118" i="6"/>
  <c r="DN112" i="6"/>
  <c r="DN111" i="6"/>
  <c r="DN110" i="6"/>
  <c r="DN108" i="6"/>
  <c r="DN104" i="6"/>
  <c r="DN103" i="6"/>
  <c r="DN102" i="6"/>
  <c r="DN101" i="6"/>
  <c r="DN100" i="6"/>
  <c r="DN98" i="6"/>
  <c r="DN95" i="6"/>
  <c r="DN94" i="6"/>
  <c r="DN91" i="6"/>
  <c r="DN90" i="6"/>
  <c r="DN89" i="6"/>
  <c r="DN88" i="6"/>
  <c r="DN87" i="6"/>
  <c r="DN86" i="6"/>
  <c r="DN84" i="6"/>
  <c r="DN83" i="6"/>
  <c r="DN81" i="6"/>
  <c r="DN78" i="6"/>
  <c r="DN77" i="6"/>
  <c r="DN76" i="6"/>
  <c r="DN73" i="6"/>
  <c r="DN72" i="6"/>
  <c r="DN71" i="6"/>
  <c r="DN70" i="6"/>
  <c r="DN69" i="6"/>
  <c r="DN67" i="6"/>
  <c r="DN66" i="6"/>
  <c r="DN65" i="6"/>
  <c r="DN64" i="6"/>
  <c r="DN62" i="6"/>
  <c r="DN61" i="6"/>
  <c r="DN58" i="6"/>
  <c r="AB157" i="6"/>
  <c r="AD157" i="6"/>
  <c r="AC157" i="6"/>
  <c r="DE145" i="6"/>
  <c r="CL145" i="6"/>
  <c r="CK145" i="6"/>
  <c r="CJ145" i="6"/>
  <c r="CG145" i="6"/>
  <c r="CF145" i="6"/>
  <c r="CE145" i="6"/>
  <c r="CD145" i="6"/>
  <c r="CC145" i="6"/>
  <c r="CB145" i="6"/>
  <c r="CA145" i="6"/>
  <c r="BZ145" i="6"/>
  <c r="BY145" i="6"/>
  <c r="BX145" i="6"/>
  <c r="BW145" i="6"/>
  <c r="BV145" i="6"/>
  <c r="BT145" i="6"/>
  <c r="AU145" i="6"/>
  <c r="AT145" i="6"/>
  <c r="AS145" i="6"/>
  <c r="AP145" i="6"/>
  <c r="AO145" i="6"/>
  <c r="AN145" i="6"/>
  <c r="AM145" i="6"/>
  <c r="AL145" i="6"/>
  <c r="AK145" i="6"/>
  <c r="AJ145" i="6"/>
  <c r="AI145" i="6"/>
  <c r="AH145" i="6"/>
  <c r="AF145" i="6"/>
  <c r="AD145" i="6"/>
  <c r="AC145" i="6"/>
  <c r="Y145" i="6"/>
  <c r="X145" i="6"/>
  <c r="T145" i="6"/>
  <c r="S145" i="6"/>
  <c r="R145" i="6"/>
  <c r="Q145" i="6"/>
  <c r="P145" i="6"/>
  <c r="O145" i="6"/>
  <c r="N145" i="6"/>
  <c r="M145" i="6"/>
  <c r="L145" i="6"/>
  <c r="K145" i="6"/>
  <c r="J145" i="6"/>
  <c r="H145" i="6"/>
  <c r="DE143" i="6"/>
  <c r="CJ143" i="6"/>
  <c r="AS143" i="6"/>
  <c r="Z143" i="6"/>
  <c r="X143" i="6"/>
  <c r="DE142" i="6"/>
  <c r="CL142" i="6"/>
  <c r="CK142" i="6"/>
  <c r="CJ142" i="6"/>
  <c r="CI142" i="6"/>
  <c r="CH142" i="6"/>
  <c r="CG142" i="6"/>
  <c r="CD142" i="6"/>
  <c r="CC142" i="6"/>
  <c r="CB142" i="6"/>
  <c r="CA142" i="6"/>
  <c r="BZ142" i="6"/>
  <c r="BW142" i="6"/>
  <c r="BV142" i="6"/>
  <c r="BU142" i="6"/>
  <c r="BT142" i="6"/>
  <c r="AU142" i="6"/>
  <c r="AT142" i="6"/>
  <c r="AS142" i="6"/>
  <c r="AR142" i="6"/>
  <c r="AQ142" i="6"/>
  <c r="AP142" i="6"/>
  <c r="AM142" i="6"/>
  <c r="AL142" i="6"/>
  <c r="AK142" i="6"/>
  <c r="AJ142" i="6"/>
  <c r="AI142" i="6"/>
  <c r="AF142" i="6"/>
  <c r="AE142" i="6"/>
  <c r="AD142" i="6"/>
  <c r="AC142" i="6"/>
  <c r="Y142" i="6"/>
  <c r="X142" i="6"/>
  <c r="V142" i="6"/>
  <c r="U142" i="6"/>
  <c r="T142" i="6"/>
  <c r="Q142" i="6"/>
  <c r="P142" i="6"/>
  <c r="O142" i="6"/>
  <c r="N142" i="6"/>
  <c r="M142" i="6"/>
  <c r="J142" i="6"/>
  <c r="I142" i="6"/>
  <c r="H142" i="6"/>
  <c r="DE141" i="6"/>
  <c r="CL141" i="6"/>
  <c r="CK141" i="6"/>
  <c r="CJ141" i="6"/>
  <c r="CI141" i="6"/>
  <c r="CH141" i="6"/>
  <c r="CE141" i="6"/>
  <c r="CD141" i="6"/>
  <c r="CC141" i="6"/>
  <c r="CB141" i="6"/>
  <c r="CA141" i="6"/>
  <c r="BZ141" i="6"/>
  <c r="BW141" i="6"/>
  <c r="BV141" i="6"/>
  <c r="BU141" i="6"/>
  <c r="BT141" i="6"/>
  <c r="AU141" i="6"/>
  <c r="AT141" i="6"/>
  <c r="AS141" i="6"/>
  <c r="AR141" i="6"/>
  <c r="AQ141" i="6"/>
  <c r="AN141" i="6"/>
  <c r="AM141" i="6"/>
  <c r="AL141" i="6"/>
  <c r="AK141" i="6"/>
  <c r="AJ141" i="6"/>
  <c r="AI141" i="6"/>
  <c r="AF141" i="6"/>
  <c r="AE141" i="6"/>
  <c r="AD141" i="6"/>
  <c r="AC141" i="6"/>
  <c r="Y141" i="6"/>
  <c r="X141" i="6"/>
  <c r="V141" i="6"/>
  <c r="U141" i="6"/>
  <c r="T141" i="6"/>
  <c r="S141" i="6"/>
  <c r="R141" i="6"/>
  <c r="Q141" i="6"/>
  <c r="P141" i="6"/>
  <c r="O141" i="6"/>
  <c r="N141" i="6"/>
  <c r="M141" i="6"/>
  <c r="L141" i="6"/>
  <c r="J141" i="6"/>
  <c r="H141" i="6"/>
  <c r="CK140" i="6"/>
  <c r="CI140" i="6"/>
  <c r="CG140" i="6"/>
  <c r="CD140" i="6"/>
  <c r="CC140" i="6"/>
  <c r="CB140" i="6"/>
  <c r="CA140" i="6"/>
  <c r="BZ140" i="6"/>
  <c r="BX140" i="6"/>
  <c r="BW140" i="6"/>
  <c r="BU140" i="6"/>
  <c r="BT140" i="6"/>
  <c r="AT140" i="6"/>
  <c r="AR140" i="6"/>
  <c r="AP140" i="6"/>
  <c r="AM140" i="6"/>
  <c r="AL140" i="6"/>
  <c r="AK140" i="6"/>
  <c r="AJ140" i="6"/>
  <c r="AI140" i="6"/>
  <c r="AG140" i="6"/>
  <c r="AF140" i="6"/>
  <c r="AD140" i="6"/>
  <c r="AC140" i="6"/>
  <c r="X140" i="6"/>
  <c r="V140" i="6"/>
  <c r="T140" i="6"/>
  <c r="S140" i="6"/>
  <c r="Q140" i="6"/>
  <c r="P140" i="6"/>
  <c r="O140" i="6"/>
  <c r="N140" i="6"/>
  <c r="M140" i="6"/>
  <c r="K140" i="6"/>
  <c r="J140" i="6"/>
  <c r="H140" i="6"/>
  <c r="DE139" i="6"/>
  <c r="CL139" i="6"/>
  <c r="CK139" i="6"/>
  <c r="CJ139" i="6"/>
  <c r="CI139" i="6"/>
  <c r="CH139" i="6"/>
  <c r="CG139" i="6"/>
  <c r="CF139" i="6"/>
  <c r="CE139" i="6"/>
  <c r="CD139" i="6"/>
  <c r="CC139" i="6"/>
  <c r="CB139" i="6"/>
  <c r="CA139" i="6"/>
  <c r="BZ139" i="6"/>
  <c r="BY139" i="6"/>
  <c r="BW139" i="6"/>
  <c r="BU139" i="6"/>
  <c r="BT139" i="6"/>
  <c r="BO139" i="6"/>
  <c r="AU139" i="6"/>
  <c r="AT139" i="6"/>
  <c r="AS139" i="6"/>
  <c r="AR139" i="6"/>
  <c r="AQ139" i="6"/>
  <c r="AP139" i="6"/>
  <c r="AO139" i="6"/>
  <c r="AN139" i="6"/>
  <c r="AM139" i="6"/>
  <c r="AL139" i="6"/>
  <c r="AK139" i="6"/>
  <c r="AJ139" i="6"/>
  <c r="AI139" i="6"/>
  <c r="AH139" i="6"/>
  <c r="AF139" i="6"/>
  <c r="AD139" i="6"/>
  <c r="AC139" i="6"/>
  <c r="Y139" i="6"/>
  <c r="X139" i="6"/>
  <c r="V139" i="6"/>
  <c r="U139" i="6"/>
  <c r="T139" i="6"/>
  <c r="S139" i="6"/>
  <c r="R139" i="6"/>
  <c r="Q139" i="6"/>
  <c r="P139" i="6"/>
  <c r="O139" i="6"/>
  <c r="N139" i="6"/>
  <c r="M139" i="6"/>
  <c r="L139" i="6"/>
  <c r="J139" i="6"/>
  <c r="H139" i="6"/>
  <c r="DE138" i="6"/>
  <c r="CL138" i="6"/>
  <c r="CK138" i="6"/>
  <c r="CJ138" i="6"/>
  <c r="CI138" i="6"/>
  <c r="CH138" i="6"/>
  <c r="CG138" i="6"/>
  <c r="CE138" i="6"/>
  <c r="CC138" i="6"/>
  <c r="CB138" i="6"/>
  <c r="CA138" i="6"/>
  <c r="BZ138" i="6"/>
  <c r="BY138" i="6"/>
  <c r="BX138" i="6"/>
  <c r="BW138" i="6"/>
  <c r="BU138" i="6"/>
  <c r="BT138" i="6"/>
  <c r="BA138" i="6"/>
  <c r="AU138" i="6"/>
  <c r="AT138" i="6"/>
  <c r="AS138" i="6"/>
  <c r="AR138" i="6"/>
  <c r="AQ138" i="6"/>
  <c r="AP138" i="6"/>
  <c r="AN138" i="6"/>
  <c r="AL138" i="6"/>
  <c r="AK138" i="6"/>
  <c r="AJ138" i="6"/>
  <c r="AI138" i="6"/>
  <c r="AH138" i="6"/>
  <c r="AG138" i="6"/>
  <c r="AF138" i="6"/>
  <c r="AD138" i="6"/>
  <c r="AC138" i="6"/>
  <c r="Y138" i="6"/>
  <c r="X138" i="6"/>
  <c r="V138" i="6"/>
  <c r="T138" i="6"/>
  <c r="S138" i="6"/>
  <c r="R138" i="6"/>
  <c r="P138" i="6"/>
  <c r="O138" i="6"/>
  <c r="N138" i="6"/>
  <c r="M138" i="6"/>
  <c r="L138" i="6"/>
  <c r="K138" i="6"/>
  <c r="J138" i="6"/>
  <c r="H138" i="6"/>
  <c r="DE137" i="6"/>
  <c r="CL137" i="6"/>
  <c r="CK137" i="6"/>
  <c r="CJ137" i="6"/>
  <c r="CI137" i="6"/>
  <c r="CH137" i="6"/>
  <c r="CG137" i="6"/>
  <c r="CF137" i="6"/>
  <c r="CE137" i="6"/>
  <c r="CB137" i="6"/>
  <c r="CA137" i="6"/>
  <c r="BZ137" i="6"/>
  <c r="BY137" i="6"/>
  <c r="BX137" i="6"/>
  <c r="BU137" i="6"/>
  <c r="BT137" i="6"/>
  <c r="BO137" i="6"/>
  <c r="AU137" i="6"/>
  <c r="AT137" i="6"/>
  <c r="AS137" i="6"/>
  <c r="AR137" i="6"/>
  <c r="AQ137" i="6"/>
  <c r="AP137" i="6"/>
  <c r="AO137" i="6"/>
  <c r="AN137" i="6"/>
  <c r="AK137" i="6"/>
  <c r="AJ137" i="6"/>
  <c r="AI137" i="6"/>
  <c r="AH137" i="6"/>
  <c r="AG137" i="6"/>
  <c r="AD137" i="6"/>
  <c r="AC137" i="6"/>
  <c r="Y137" i="6"/>
  <c r="X137" i="6"/>
  <c r="V137" i="6"/>
  <c r="U137" i="6"/>
  <c r="T137" i="6"/>
  <c r="S137" i="6"/>
  <c r="R137" i="6"/>
  <c r="Q137" i="6"/>
  <c r="L137" i="6"/>
  <c r="K137" i="6"/>
  <c r="H137" i="6"/>
  <c r="DE133" i="6"/>
  <c r="CL133" i="6"/>
  <c r="CI133" i="6"/>
  <c r="CH133" i="6"/>
  <c r="CE133" i="6"/>
  <c r="CB133" i="6"/>
  <c r="CA133" i="6"/>
  <c r="BZ133" i="6"/>
  <c r="BY133" i="6"/>
  <c r="BU133" i="6"/>
  <c r="BT133" i="6"/>
  <c r="BN133" i="6"/>
  <c r="AU133" i="6"/>
  <c r="AS133" i="6"/>
  <c r="AR133" i="6"/>
  <c r="AQ133" i="6"/>
  <c r="AN133" i="6"/>
  <c r="AK133" i="6"/>
  <c r="AJ133" i="6"/>
  <c r="AI133" i="6"/>
  <c r="AH133" i="6"/>
  <c r="AF133" i="6"/>
  <c r="AD133" i="6"/>
  <c r="Y133" i="6"/>
  <c r="X133" i="6"/>
  <c r="W133" i="6"/>
  <c r="V133" i="6"/>
  <c r="S133" i="6"/>
  <c r="R133" i="6"/>
  <c r="L133" i="6"/>
  <c r="H133" i="6"/>
  <c r="DG132" i="6"/>
  <c r="DF132" i="6"/>
  <c r="DD132" i="6"/>
  <c r="DC132" i="6"/>
  <c r="DB132" i="6"/>
  <c r="DA132" i="6"/>
  <c r="CZ132" i="6"/>
  <c r="CY132" i="6"/>
  <c r="CX132" i="6"/>
  <c r="CW132" i="6"/>
  <c r="CV132" i="6"/>
  <c r="CU132" i="6"/>
  <c r="CT132" i="6"/>
  <c r="CS132" i="6"/>
  <c r="CR132" i="6"/>
  <c r="CQ132" i="6"/>
  <c r="CP132" i="6"/>
  <c r="CM132" i="6"/>
  <c r="BX132" i="6"/>
  <c r="BP132" i="6"/>
  <c r="BM132" i="6"/>
  <c r="BL132" i="6"/>
  <c r="BK132" i="6"/>
  <c r="BJ132" i="6"/>
  <c r="BI132" i="6"/>
  <c r="BH132" i="6"/>
  <c r="BG132" i="6"/>
  <c r="BF132" i="6"/>
  <c r="BE132" i="6"/>
  <c r="BD132" i="6"/>
  <c r="BC132" i="6"/>
  <c r="BA132" i="6"/>
  <c r="AZ132" i="6"/>
  <c r="AY132" i="6"/>
  <c r="AV132" i="6"/>
  <c r="AG132" i="6"/>
  <c r="Z132" i="6"/>
  <c r="G132" i="6"/>
  <c r="DH131" i="6"/>
  <c r="DG131" i="6"/>
  <c r="DF131" i="6"/>
  <c r="DD131" i="6"/>
  <c r="DC131" i="6"/>
  <c r="DB131" i="6"/>
  <c r="DA131" i="6"/>
  <c r="CZ131" i="6"/>
  <c r="CY131" i="6"/>
  <c r="CX131" i="6"/>
  <c r="CW131" i="6"/>
  <c r="CV131" i="6"/>
  <c r="CU131" i="6"/>
  <c r="CT131" i="6"/>
  <c r="CS131" i="6"/>
  <c r="CR131" i="6"/>
  <c r="CQ131" i="6"/>
  <c r="CP131" i="6"/>
  <c r="BX131" i="6"/>
  <c r="BS131" i="6"/>
  <c r="BQ131" i="6"/>
  <c r="BP131" i="6"/>
  <c r="BM131" i="6"/>
  <c r="BL131" i="6"/>
  <c r="BK131" i="6"/>
  <c r="BJ131" i="6"/>
  <c r="BI131" i="6"/>
  <c r="BH131" i="6"/>
  <c r="BG131" i="6"/>
  <c r="BF131" i="6"/>
  <c r="BE131" i="6"/>
  <c r="BD131" i="6"/>
  <c r="BC131" i="6"/>
  <c r="BA131" i="6"/>
  <c r="AZ131" i="6"/>
  <c r="AY131" i="6"/>
  <c r="AG131" i="6"/>
  <c r="BB131" i="6" s="1"/>
  <c r="AB131" i="6"/>
  <c r="G131" i="6"/>
  <c r="BR131" i="6" s="1"/>
  <c r="CN131" i="6" s="1"/>
  <c r="DH130" i="6"/>
  <c r="DG130" i="6"/>
  <c r="DF130" i="6"/>
  <c r="DD130" i="6"/>
  <c r="DC130" i="6"/>
  <c r="DB130" i="6"/>
  <c r="DA130" i="6"/>
  <c r="CZ130" i="6"/>
  <c r="CY130" i="6"/>
  <c r="CX130" i="6"/>
  <c r="CW130" i="6"/>
  <c r="CV130" i="6"/>
  <c r="CU130" i="6"/>
  <c r="CT130" i="6"/>
  <c r="CR130" i="6"/>
  <c r="CQ130" i="6"/>
  <c r="CP130" i="6"/>
  <c r="BX130" i="6"/>
  <c r="BQ130" i="6"/>
  <c r="BP130" i="6"/>
  <c r="BM130" i="6"/>
  <c r="BL130" i="6"/>
  <c r="BK130" i="6"/>
  <c r="BJ130" i="6"/>
  <c r="BI130" i="6"/>
  <c r="BH130" i="6"/>
  <c r="BG130" i="6"/>
  <c r="BF130" i="6"/>
  <c r="BE130" i="6"/>
  <c r="BD130" i="6"/>
  <c r="BC130" i="6"/>
  <c r="BA130" i="6"/>
  <c r="AZ130" i="6"/>
  <c r="AY130" i="6"/>
  <c r="AG130" i="6"/>
  <c r="AB130" i="6" s="1"/>
  <c r="AA130" i="6" s="1"/>
  <c r="AW130" i="6" s="1"/>
  <c r="G130" i="6"/>
  <c r="DH129" i="6"/>
  <c r="DG129" i="6"/>
  <c r="DF129" i="6"/>
  <c r="DD129" i="6"/>
  <c r="DC129" i="6"/>
  <c r="DB129" i="6"/>
  <c r="DA129" i="6"/>
  <c r="CZ129" i="6"/>
  <c r="CY129" i="6"/>
  <c r="CX129" i="6"/>
  <c r="CW129" i="6"/>
  <c r="CV129" i="6"/>
  <c r="CU129" i="6"/>
  <c r="CT129" i="6"/>
  <c r="CS129" i="6"/>
  <c r="CR129" i="6"/>
  <c r="CQ129" i="6"/>
  <c r="CP129" i="6"/>
  <c r="BS129" i="6"/>
  <c r="BQ129" i="6"/>
  <c r="BP129" i="6"/>
  <c r="BM129" i="6"/>
  <c r="BL129" i="6"/>
  <c r="BK129" i="6"/>
  <c r="BJ129" i="6"/>
  <c r="BI129" i="6"/>
  <c r="BH129" i="6"/>
  <c r="BG129" i="6"/>
  <c r="BF129" i="6"/>
  <c r="BE129" i="6"/>
  <c r="BD129" i="6"/>
  <c r="BC129" i="6"/>
  <c r="BB129" i="6"/>
  <c r="BA129" i="6"/>
  <c r="AZ129" i="6"/>
  <c r="AY129" i="6"/>
  <c r="AB129" i="6"/>
  <c r="G129" i="6"/>
  <c r="DH128" i="6"/>
  <c r="DG128" i="6"/>
  <c r="DF128" i="6"/>
  <c r="DD128" i="6"/>
  <c r="DC128" i="6"/>
  <c r="DB128" i="6"/>
  <c r="DA128" i="6"/>
  <c r="CZ128" i="6"/>
  <c r="CY128" i="6"/>
  <c r="CX128" i="6"/>
  <c r="CW128" i="6"/>
  <c r="CV128" i="6"/>
  <c r="CU128" i="6"/>
  <c r="CT128" i="6"/>
  <c r="CR128" i="6"/>
  <c r="CQ128" i="6"/>
  <c r="CP128" i="6"/>
  <c r="BX128" i="6"/>
  <c r="BS128" i="6"/>
  <c r="DM128" i="6" s="1"/>
  <c r="BQ128" i="6"/>
  <c r="BP128" i="6"/>
  <c r="BM128" i="6"/>
  <c r="BL128" i="6"/>
  <c r="BK128" i="6"/>
  <c r="BJ128" i="6"/>
  <c r="BI128" i="6"/>
  <c r="BH128" i="6"/>
  <c r="BG128" i="6"/>
  <c r="BF128" i="6"/>
  <c r="BE128" i="6"/>
  <c r="BD128" i="6"/>
  <c r="BC128" i="6"/>
  <c r="BA128" i="6"/>
  <c r="AZ128" i="6"/>
  <c r="AY128" i="6"/>
  <c r="AG128" i="6"/>
  <c r="AB128" i="6"/>
  <c r="K128" i="6"/>
  <c r="G128" i="6" s="1"/>
  <c r="DH127" i="6"/>
  <c r="DG127" i="6"/>
  <c r="DF127" i="6"/>
  <c r="DD127" i="6"/>
  <c r="DC127" i="6"/>
  <c r="DB127" i="6"/>
  <c r="DA127" i="6"/>
  <c r="CZ127" i="6"/>
  <c r="CY127" i="6"/>
  <c r="CX127" i="6"/>
  <c r="CW127" i="6"/>
  <c r="CV127" i="6"/>
  <c r="CU127" i="6"/>
  <c r="CT127" i="6"/>
  <c r="CR127" i="6"/>
  <c r="CQ127" i="6"/>
  <c r="CP127" i="6"/>
  <c r="BX127" i="6"/>
  <c r="BS127" i="6" s="1"/>
  <c r="DM127" i="6" s="1"/>
  <c r="BQ127" i="6"/>
  <c r="BP127" i="6"/>
  <c r="BM127" i="6"/>
  <c r="BL127" i="6"/>
  <c r="BK127" i="6"/>
  <c r="BJ127" i="6"/>
  <c r="BI127" i="6"/>
  <c r="BH127" i="6"/>
  <c r="BG127" i="6"/>
  <c r="BF127" i="6"/>
  <c r="BE127" i="6"/>
  <c r="BD127" i="6"/>
  <c r="BC127" i="6"/>
  <c r="BA127" i="6"/>
  <c r="AZ127" i="6"/>
  <c r="AY127" i="6"/>
  <c r="AG127" i="6"/>
  <c r="AB127" i="6" s="1"/>
  <c r="K127" i="6"/>
  <c r="G127" i="6" s="1"/>
  <c r="CK126" i="6"/>
  <c r="DF126" i="6" s="1"/>
  <c r="DF143" i="6" s="1"/>
  <c r="CG126" i="6"/>
  <c r="CG133" i="6" s="1"/>
  <c r="AT126" i="6"/>
  <c r="BO126" i="6" s="1"/>
  <c r="AP126" i="6"/>
  <c r="T126" i="6"/>
  <c r="T143" i="6" s="1"/>
  <c r="DH125" i="6"/>
  <c r="DG125" i="6"/>
  <c r="DF125" i="6"/>
  <c r="DD125" i="6"/>
  <c r="DC125" i="6"/>
  <c r="DB125" i="6"/>
  <c r="DA125" i="6"/>
  <c r="CZ125" i="6"/>
  <c r="CY125" i="6"/>
  <c r="CX125" i="6"/>
  <c r="CW125" i="6"/>
  <c r="CV125" i="6"/>
  <c r="CU125" i="6"/>
  <c r="CT125" i="6"/>
  <c r="CS125" i="6"/>
  <c r="CR125" i="6"/>
  <c r="CQ125" i="6"/>
  <c r="CP125" i="6"/>
  <c r="CF125" i="6"/>
  <c r="CF133" i="6" s="1"/>
  <c r="BS125" i="6"/>
  <c r="BQ125" i="6"/>
  <c r="BP125" i="6"/>
  <c r="BO125" i="6"/>
  <c r="BO138" i="6" s="1"/>
  <c r="BM125" i="6"/>
  <c r="BL125" i="6"/>
  <c r="BK125" i="6"/>
  <c r="BI125" i="6"/>
  <c r="BH125" i="6"/>
  <c r="BG125" i="6"/>
  <c r="BF125" i="6"/>
  <c r="BE125" i="6"/>
  <c r="BD125" i="6"/>
  <c r="BC125" i="6"/>
  <c r="BB125" i="6"/>
  <c r="BA125" i="6"/>
  <c r="AZ125" i="6"/>
  <c r="AY125" i="6"/>
  <c r="AO125" i="6"/>
  <c r="G125" i="6"/>
  <c r="BR125" i="6" s="1"/>
  <c r="CN125" i="6" s="1"/>
  <c r="DH124" i="6"/>
  <c r="DG124" i="6"/>
  <c r="DF124" i="6"/>
  <c r="DD124" i="6"/>
  <c r="DB124" i="6"/>
  <c r="DA124" i="6"/>
  <c r="CZ124" i="6"/>
  <c r="CY124" i="6"/>
  <c r="CX124" i="6"/>
  <c r="CW124" i="6"/>
  <c r="CV124" i="6"/>
  <c r="CU124" i="6"/>
  <c r="CT124" i="6"/>
  <c r="CS124" i="6"/>
  <c r="CR124" i="6"/>
  <c r="CP124" i="6"/>
  <c r="BV124" i="6"/>
  <c r="BS124" i="6" s="1"/>
  <c r="BQ124" i="6"/>
  <c r="BP124" i="6"/>
  <c r="BM124" i="6"/>
  <c r="BK124" i="6"/>
  <c r="BJ124" i="6"/>
  <c r="BI124" i="6"/>
  <c r="BH124" i="6"/>
  <c r="BG124" i="6"/>
  <c r="BF124" i="6"/>
  <c r="BE124" i="6"/>
  <c r="BD124" i="6"/>
  <c r="BC124" i="6"/>
  <c r="BB124" i="6"/>
  <c r="BA124" i="6"/>
  <c r="AY124" i="6"/>
  <c r="AE124" i="6"/>
  <c r="AB124" i="6"/>
  <c r="U124" i="6"/>
  <c r="U133" i="6" s="1"/>
  <c r="I124" i="6"/>
  <c r="CQ124" i="6" s="1"/>
  <c r="DG123" i="6"/>
  <c r="DF123" i="6"/>
  <c r="DD123" i="6"/>
  <c r="DC123" i="6"/>
  <c r="DB123" i="6"/>
  <c r="DA123" i="6"/>
  <c r="CZ123" i="6"/>
  <c r="CY123" i="6"/>
  <c r="CX123" i="6"/>
  <c r="CW123" i="6"/>
  <c r="CV123" i="6"/>
  <c r="CU123" i="6"/>
  <c r="CT123" i="6"/>
  <c r="CS123" i="6"/>
  <c r="CR123" i="6"/>
  <c r="CQ123" i="6"/>
  <c r="CP123" i="6"/>
  <c r="CM123" i="6"/>
  <c r="BS123" i="6" s="1"/>
  <c r="BP123" i="6"/>
  <c r="BM123" i="6"/>
  <c r="BL123" i="6"/>
  <c r="BK123" i="6"/>
  <c r="BJ123" i="6"/>
  <c r="BI123" i="6"/>
  <c r="BH123" i="6"/>
  <c r="BG123" i="6"/>
  <c r="BF123" i="6"/>
  <c r="BE123" i="6"/>
  <c r="BD123" i="6"/>
  <c r="BC123" i="6"/>
  <c r="BB123" i="6"/>
  <c r="BA123" i="6"/>
  <c r="AZ123" i="6"/>
  <c r="AY123" i="6"/>
  <c r="AV123" i="6"/>
  <c r="BQ123" i="6" s="1"/>
  <c r="AB123" i="6"/>
  <c r="Z123" i="6"/>
  <c r="DH123" i="6" s="1"/>
  <c r="DG122" i="6"/>
  <c r="DF122" i="6"/>
  <c r="DD122" i="6"/>
  <c r="DC122" i="6"/>
  <c r="DB122" i="6"/>
  <c r="DA122" i="6"/>
  <c r="CZ122" i="6"/>
  <c r="CY122" i="6"/>
  <c r="CX122" i="6"/>
  <c r="CW122" i="6"/>
  <c r="CV122" i="6"/>
  <c r="CU122" i="6"/>
  <c r="CT122" i="6"/>
  <c r="CS122" i="6"/>
  <c r="CR122" i="6"/>
  <c r="CQ122" i="6"/>
  <c r="CP122" i="6"/>
  <c r="CM122" i="6"/>
  <c r="BS122" i="6"/>
  <c r="BR122" i="6" s="1"/>
  <c r="CN122" i="6" s="1"/>
  <c r="BQ122" i="6"/>
  <c r="BP122" i="6"/>
  <c r="BM122" i="6"/>
  <c r="BL122" i="6"/>
  <c r="BK122" i="6"/>
  <c r="BJ122" i="6"/>
  <c r="BI122" i="6"/>
  <c r="BH122" i="6"/>
  <c r="BG122" i="6"/>
  <c r="BF122" i="6"/>
  <c r="BE122" i="6"/>
  <c r="BD122" i="6"/>
  <c r="BC122" i="6"/>
  <c r="BB122" i="6"/>
  <c r="BA122" i="6"/>
  <c r="AZ122" i="6"/>
  <c r="AY122" i="6"/>
  <c r="AV122" i="6"/>
  <c r="AB122" i="6"/>
  <c r="AA122" i="6" s="1"/>
  <c r="AW122" i="6" s="1"/>
  <c r="Z122" i="6"/>
  <c r="G122" i="6" s="1"/>
  <c r="DG121" i="6"/>
  <c r="DF121" i="6"/>
  <c r="DD121" i="6"/>
  <c r="DC121" i="6"/>
  <c r="DB121" i="6"/>
  <c r="DA121" i="6"/>
  <c r="CZ121" i="6"/>
  <c r="CY121" i="6"/>
  <c r="CX121" i="6"/>
  <c r="CW121" i="6"/>
  <c r="CV121" i="6"/>
  <c r="CU121" i="6"/>
  <c r="CT121" i="6"/>
  <c r="CS121" i="6"/>
  <c r="CR121" i="6"/>
  <c r="CP121" i="6"/>
  <c r="CM121" i="6"/>
  <c r="BS121" i="6" s="1"/>
  <c r="DM121" i="6" s="1"/>
  <c r="BP121" i="6"/>
  <c r="BM121" i="6"/>
  <c r="BL121" i="6"/>
  <c r="BK121" i="6"/>
  <c r="BJ121" i="6"/>
  <c r="BI121" i="6"/>
  <c r="BH121" i="6"/>
  <c r="BG121" i="6"/>
  <c r="BF121" i="6"/>
  <c r="BE121" i="6"/>
  <c r="BD121" i="6"/>
  <c r="BC121" i="6"/>
  <c r="BB121" i="6"/>
  <c r="BA121" i="6"/>
  <c r="AY121" i="6"/>
  <c r="AV121" i="6"/>
  <c r="AB121" i="6" s="1"/>
  <c r="Z121" i="6"/>
  <c r="I121" i="6"/>
  <c r="CQ121" i="6" s="1"/>
  <c r="DG120" i="6"/>
  <c r="DF120" i="6"/>
  <c r="DD120" i="6"/>
  <c r="DC120" i="6"/>
  <c r="DB120" i="6"/>
  <c r="DA120" i="6"/>
  <c r="CZ120" i="6"/>
  <c r="CY120" i="6"/>
  <c r="CX120" i="6"/>
  <c r="CW120" i="6"/>
  <c r="CV120" i="6"/>
  <c r="CU120" i="6"/>
  <c r="CT120" i="6"/>
  <c r="CS120" i="6"/>
  <c r="CR120" i="6"/>
  <c r="CP120" i="6"/>
  <c r="CM120" i="6"/>
  <c r="CD120" i="6"/>
  <c r="BV120" i="6"/>
  <c r="BP120" i="6"/>
  <c r="BM120" i="6"/>
  <c r="BL120" i="6"/>
  <c r="BK120" i="6"/>
  <c r="BJ120" i="6"/>
  <c r="BI120" i="6"/>
  <c r="BH120" i="6"/>
  <c r="BG120" i="6"/>
  <c r="BF120" i="6"/>
  <c r="BE120" i="6"/>
  <c r="BD120" i="6"/>
  <c r="BC120" i="6"/>
  <c r="BB120" i="6"/>
  <c r="BA120" i="6"/>
  <c r="AY120" i="6"/>
  <c r="AV120" i="6"/>
  <c r="BQ120" i="6" s="1"/>
  <c r="AE120" i="6"/>
  <c r="AB120" i="6" s="1"/>
  <c r="Z120" i="6"/>
  <c r="DH120" i="6" s="1"/>
  <c r="G120" i="6"/>
  <c r="DG119" i="6"/>
  <c r="DF119" i="6"/>
  <c r="DD119" i="6"/>
  <c r="DC119" i="6"/>
  <c r="DB119" i="6"/>
  <c r="DA119" i="6"/>
  <c r="CZ119" i="6"/>
  <c r="CY119" i="6"/>
  <c r="CX119" i="6"/>
  <c r="CW119" i="6"/>
  <c r="CV119" i="6"/>
  <c r="CU119" i="6"/>
  <c r="CT119" i="6"/>
  <c r="CS119" i="6"/>
  <c r="CR119" i="6"/>
  <c r="CP119" i="6"/>
  <c r="CM119" i="6"/>
  <c r="BV119" i="6"/>
  <c r="BS119" i="6"/>
  <c r="BR119" i="6" s="1"/>
  <c r="CN119" i="6" s="1"/>
  <c r="BP119" i="6"/>
  <c r="BM119" i="6"/>
  <c r="BL119" i="6"/>
  <c r="BK119" i="6"/>
  <c r="BJ119" i="6"/>
  <c r="BI119" i="6"/>
  <c r="BI138" i="6" s="1"/>
  <c r="BH119" i="6"/>
  <c r="BG119" i="6"/>
  <c r="BF119" i="6"/>
  <c r="BE119" i="6"/>
  <c r="BD119" i="6"/>
  <c r="BC119" i="6"/>
  <c r="BB119" i="6"/>
  <c r="BA119" i="6"/>
  <c r="AY119" i="6"/>
  <c r="AV119" i="6"/>
  <c r="AV133" i="6" s="1"/>
  <c r="AE119" i="6"/>
  <c r="Z119" i="6"/>
  <c r="DH119" i="6" s="1"/>
  <c r="I119" i="6"/>
  <c r="G119" i="6" s="1"/>
  <c r="DH118" i="6"/>
  <c r="DG118" i="6"/>
  <c r="DF118" i="6"/>
  <c r="DD118" i="6"/>
  <c r="DC118" i="6"/>
  <c r="DB118" i="6"/>
  <c r="DA118" i="6"/>
  <c r="CZ118" i="6"/>
  <c r="CY118" i="6"/>
  <c r="CX118" i="6"/>
  <c r="CW118" i="6"/>
  <c r="CV118" i="6"/>
  <c r="CU118" i="6"/>
  <c r="CT118" i="6"/>
  <c r="CS118" i="6"/>
  <c r="CR118" i="6"/>
  <c r="CP118" i="6"/>
  <c r="BV118" i="6"/>
  <c r="BS118" i="6"/>
  <c r="BP118" i="6"/>
  <c r="BM118" i="6"/>
  <c r="BL118" i="6"/>
  <c r="BK118" i="6"/>
  <c r="BJ118" i="6"/>
  <c r="BI118" i="6"/>
  <c r="BH118" i="6"/>
  <c r="BG118" i="6"/>
  <c r="BF118" i="6"/>
  <c r="BE118" i="6"/>
  <c r="BD118" i="6"/>
  <c r="BC118" i="6"/>
  <c r="BB118" i="6"/>
  <c r="BA118" i="6"/>
  <c r="AY118" i="6"/>
  <c r="AV118" i="6"/>
  <c r="BQ118" i="6" s="1"/>
  <c r="AE118" i="6"/>
  <c r="AB118" i="6" s="1"/>
  <c r="I118" i="6"/>
  <c r="DG117" i="6"/>
  <c r="DF117" i="6"/>
  <c r="DD117" i="6"/>
  <c r="DC117" i="6"/>
  <c r="DB117" i="6"/>
  <c r="DA117" i="6"/>
  <c r="CZ117" i="6"/>
  <c r="CX117" i="6"/>
  <c r="CW117" i="6"/>
  <c r="CV117" i="6"/>
  <c r="CU117" i="6"/>
  <c r="CT117" i="6"/>
  <c r="CS117" i="6"/>
  <c r="CR117" i="6"/>
  <c r="CP117" i="6"/>
  <c r="CM117" i="6"/>
  <c r="CD117" i="6"/>
  <c r="CD138" i="6" s="1"/>
  <c r="BV117" i="6"/>
  <c r="BP117" i="6"/>
  <c r="BM117" i="6"/>
  <c r="BL117" i="6"/>
  <c r="BK117" i="6"/>
  <c r="BJ117" i="6"/>
  <c r="BI117" i="6"/>
  <c r="BG117" i="6"/>
  <c r="BF117" i="6"/>
  <c r="BE117" i="6"/>
  <c r="BD117" i="6"/>
  <c r="BC117" i="6"/>
  <c r="BB117" i="6"/>
  <c r="BA117" i="6"/>
  <c r="AY117" i="6"/>
  <c r="AV117" i="6"/>
  <c r="AM117" i="6"/>
  <c r="AM138" i="6" s="1"/>
  <c r="AE117" i="6"/>
  <c r="Z117" i="6"/>
  <c r="Q117" i="6"/>
  <c r="I117" i="6"/>
  <c r="CQ117" i="6" s="1"/>
  <c r="DH116" i="6"/>
  <c r="DG116" i="6"/>
  <c r="DF116" i="6"/>
  <c r="DD116" i="6"/>
  <c r="DC116" i="6"/>
  <c r="DB116" i="6"/>
  <c r="DA116" i="6"/>
  <c r="CZ116" i="6"/>
  <c r="CX116" i="6"/>
  <c r="CW116" i="6"/>
  <c r="CV116" i="6"/>
  <c r="CU116" i="6"/>
  <c r="CT116" i="6"/>
  <c r="CS116" i="6"/>
  <c r="CQ116" i="6"/>
  <c r="CP116" i="6"/>
  <c r="CD116" i="6"/>
  <c r="BW116" i="6"/>
  <c r="BS116" i="6" s="1"/>
  <c r="DM116" i="6" s="1"/>
  <c r="BQ116" i="6"/>
  <c r="BP116" i="6"/>
  <c r="BM116" i="6"/>
  <c r="BL116" i="6"/>
  <c r="BK116" i="6"/>
  <c r="BJ116" i="6"/>
  <c r="BI116" i="6"/>
  <c r="BG116" i="6"/>
  <c r="BF116" i="6"/>
  <c r="BE116" i="6"/>
  <c r="BD116" i="6"/>
  <c r="BC116" i="6"/>
  <c r="BB116" i="6"/>
  <c r="AZ116" i="6"/>
  <c r="AY116" i="6"/>
  <c r="AM116" i="6"/>
  <c r="AF116" i="6"/>
  <c r="Q116" i="6"/>
  <c r="J116" i="6"/>
  <c r="G116" i="6"/>
  <c r="DG115" i="6"/>
  <c r="DF115" i="6"/>
  <c r="DD115" i="6"/>
  <c r="DC115" i="6"/>
  <c r="DB115" i="6"/>
  <c r="DA115" i="6"/>
  <c r="CZ115" i="6"/>
  <c r="CZ137" i="6" s="1"/>
  <c r="CW115" i="6"/>
  <c r="CV115" i="6"/>
  <c r="CU115" i="6"/>
  <c r="CT115" i="6"/>
  <c r="CS115" i="6"/>
  <c r="CP115" i="6"/>
  <c r="CM115" i="6"/>
  <c r="CD115" i="6"/>
  <c r="CC115" i="6"/>
  <c r="BW115" i="6"/>
  <c r="BV115" i="6"/>
  <c r="BP115" i="6"/>
  <c r="BM115" i="6"/>
  <c r="BL115" i="6"/>
  <c r="BK115" i="6"/>
  <c r="BJ115" i="6"/>
  <c r="BI115" i="6"/>
  <c r="BF115" i="6"/>
  <c r="BE115" i="6"/>
  <c r="BD115" i="6"/>
  <c r="BC115" i="6"/>
  <c r="BB115" i="6"/>
  <c r="AY115" i="6"/>
  <c r="AV115" i="6"/>
  <c r="AM115" i="6"/>
  <c r="AM133" i="6" s="1"/>
  <c r="AL115" i="6"/>
  <c r="AL137" i="6" s="1"/>
  <c r="AF115" i="6"/>
  <c r="BA115" i="6" s="1"/>
  <c r="AE115" i="6"/>
  <c r="Z115" i="6"/>
  <c r="Q115" i="6"/>
  <c r="P115" i="6"/>
  <c r="I115" i="6"/>
  <c r="CQ115" i="6" s="1"/>
  <c r="DG114" i="6"/>
  <c r="DF114" i="6"/>
  <c r="DD114" i="6"/>
  <c r="DC114" i="6"/>
  <c r="DB114" i="6"/>
  <c r="DA114" i="6"/>
  <c r="CZ114" i="6"/>
  <c r="CX114" i="6"/>
  <c r="CV114" i="6"/>
  <c r="CT114" i="6"/>
  <c r="CS114" i="6"/>
  <c r="CP114" i="6"/>
  <c r="CM114" i="6"/>
  <c r="CM137" i="6" s="1"/>
  <c r="BV114" i="6"/>
  <c r="BP114" i="6"/>
  <c r="BM114" i="6"/>
  <c r="BL114" i="6"/>
  <c r="BK114" i="6"/>
  <c r="BJ114" i="6"/>
  <c r="BI114" i="6"/>
  <c r="BG114" i="6"/>
  <c r="BD114" i="6"/>
  <c r="BC114" i="6"/>
  <c r="BC137" i="6" s="1"/>
  <c r="BB114" i="6"/>
  <c r="AY114" i="6"/>
  <c r="AV114" i="6"/>
  <c r="AB114" i="6" s="1"/>
  <c r="AE114" i="6"/>
  <c r="Z114" i="6"/>
  <c r="Q114" i="6"/>
  <c r="CY114" i="6" s="1"/>
  <c r="O114" i="6"/>
  <c r="O133" i="6" s="1"/>
  <c r="N114" i="6"/>
  <c r="M114" i="6"/>
  <c r="CU114" i="6" s="1"/>
  <c r="J114" i="6"/>
  <c r="I114" i="6"/>
  <c r="CQ114" i="6" s="1"/>
  <c r="DE113" i="6"/>
  <c r="CL113" i="6"/>
  <c r="CK113" i="6"/>
  <c r="CJ113" i="6"/>
  <c r="CG113" i="6"/>
  <c r="CF113" i="6"/>
  <c r="CE113" i="6"/>
  <c r="CD113" i="6"/>
  <c r="CC113" i="6"/>
  <c r="CB113" i="6"/>
  <c r="CA113" i="6"/>
  <c r="BZ113" i="6"/>
  <c r="BY113" i="6"/>
  <c r="BX113" i="6"/>
  <c r="BW113" i="6"/>
  <c r="BV113" i="6"/>
  <c r="BT113" i="6"/>
  <c r="BN113" i="6"/>
  <c r="AU113" i="6"/>
  <c r="AT113" i="6"/>
  <c r="AS113" i="6"/>
  <c r="AP113" i="6"/>
  <c r="AO113" i="6"/>
  <c r="AN113" i="6"/>
  <c r="AM113" i="6"/>
  <c r="AL113" i="6"/>
  <c r="AK113" i="6"/>
  <c r="AJ113" i="6"/>
  <c r="AI113" i="6"/>
  <c r="AH113" i="6"/>
  <c r="AF113" i="6"/>
  <c r="AD113" i="6"/>
  <c r="Y113" i="6"/>
  <c r="X113" i="6"/>
  <c r="W113" i="6"/>
  <c r="T113" i="6"/>
  <c r="S113" i="6"/>
  <c r="R113" i="6"/>
  <c r="Q113" i="6"/>
  <c r="P113" i="6"/>
  <c r="O113" i="6"/>
  <c r="N113" i="6"/>
  <c r="M113" i="6"/>
  <c r="L113" i="6"/>
  <c r="K113" i="6"/>
  <c r="J113" i="6"/>
  <c r="H113" i="6"/>
  <c r="CQ112" i="6"/>
  <c r="CO112" i="6" s="1"/>
  <c r="BS112" i="6"/>
  <c r="AE112" i="6"/>
  <c r="G112" i="6"/>
  <c r="CQ111" i="6"/>
  <c r="CO111" i="6" s="1"/>
  <c r="BS111" i="6"/>
  <c r="AZ111" i="6"/>
  <c r="AX111" i="6" s="1"/>
  <c r="AB111" i="6"/>
  <c r="G111" i="6"/>
  <c r="BR111" i="6" s="1"/>
  <c r="CN111" i="6" s="1"/>
  <c r="CQ110" i="6"/>
  <c r="CO110" i="6"/>
  <c r="BS110" i="6"/>
  <c r="AZ110" i="6"/>
  <c r="AX110" i="6" s="1"/>
  <c r="AB110" i="6"/>
  <c r="G110" i="6"/>
  <c r="DH109" i="6"/>
  <c r="DG109" i="6"/>
  <c r="DF109" i="6"/>
  <c r="DD109" i="6"/>
  <c r="DB109" i="6"/>
  <c r="DA109" i="6"/>
  <c r="CZ109" i="6"/>
  <c r="CY109" i="6"/>
  <c r="CX109" i="6"/>
  <c r="CW109" i="6"/>
  <c r="CV109" i="6"/>
  <c r="CU109" i="6"/>
  <c r="CT109" i="6"/>
  <c r="CS109" i="6"/>
  <c r="CR109" i="6"/>
  <c r="CP109" i="6"/>
  <c r="CH109" i="6"/>
  <c r="BS109" i="6" s="1"/>
  <c r="DM109" i="6" s="1"/>
  <c r="BQ109" i="6"/>
  <c r="BP109" i="6"/>
  <c r="BM109" i="6"/>
  <c r="BK109" i="6"/>
  <c r="BJ109" i="6"/>
  <c r="BI109" i="6"/>
  <c r="BH109" i="6"/>
  <c r="BG109" i="6"/>
  <c r="BF109" i="6"/>
  <c r="BE109" i="6"/>
  <c r="BD109" i="6"/>
  <c r="BC109" i="6"/>
  <c r="BB109" i="6"/>
  <c r="BA109" i="6"/>
  <c r="AY109" i="6"/>
  <c r="AQ109" i="6"/>
  <c r="AB109" i="6"/>
  <c r="U109" i="6"/>
  <c r="I109" i="6"/>
  <c r="CQ109" i="6" s="1"/>
  <c r="DH108" i="6"/>
  <c r="DG108" i="6"/>
  <c r="DF108" i="6"/>
  <c r="DD108" i="6"/>
  <c r="DC108" i="6"/>
  <c r="DB108" i="6"/>
  <c r="DA108" i="6"/>
  <c r="CZ108" i="6"/>
  <c r="CY108" i="6"/>
  <c r="CX108" i="6"/>
  <c r="CW108" i="6"/>
  <c r="CV108" i="6"/>
  <c r="CU108" i="6"/>
  <c r="CT108" i="6"/>
  <c r="CS108" i="6"/>
  <c r="CR108" i="6"/>
  <c r="CQ108" i="6"/>
  <c r="CP108" i="6"/>
  <c r="CI108" i="6"/>
  <c r="BS108" i="6"/>
  <c r="BQ108" i="6"/>
  <c r="BP108" i="6"/>
  <c r="BL108" i="6"/>
  <c r="BK108" i="6"/>
  <c r="BJ108" i="6"/>
  <c r="BI108" i="6"/>
  <c r="BH108" i="6"/>
  <c r="BG108" i="6"/>
  <c r="BF108" i="6"/>
  <c r="BE108" i="6"/>
  <c r="BD108" i="6"/>
  <c r="BC108" i="6"/>
  <c r="BB108" i="6"/>
  <c r="BA108" i="6"/>
  <c r="AZ108" i="6"/>
  <c r="AY108" i="6"/>
  <c r="AR108" i="6"/>
  <c r="AB108" i="6" s="1"/>
  <c r="G108" i="6"/>
  <c r="DH107" i="6"/>
  <c r="DG107" i="6"/>
  <c r="DF107" i="6"/>
  <c r="DC107" i="6"/>
  <c r="DB107" i="6"/>
  <c r="DA107" i="6"/>
  <c r="CZ107" i="6"/>
  <c r="CY107" i="6"/>
  <c r="CX107" i="6"/>
  <c r="CW107" i="6"/>
  <c r="CV107" i="6"/>
  <c r="CU107" i="6"/>
  <c r="CT107" i="6"/>
  <c r="CS107" i="6"/>
  <c r="CR107" i="6"/>
  <c r="CQ107" i="6"/>
  <c r="CP107" i="6"/>
  <c r="CI107" i="6"/>
  <c r="BQ107" i="6"/>
  <c r="BP107" i="6"/>
  <c r="BM107" i="6"/>
  <c r="BL107" i="6"/>
  <c r="BK107" i="6"/>
  <c r="BJ107" i="6"/>
  <c r="BI107" i="6"/>
  <c r="BH107" i="6"/>
  <c r="BG107" i="6"/>
  <c r="BF107" i="6"/>
  <c r="BE107" i="6"/>
  <c r="BD107" i="6"/>
  <c r="BC107" i="6"/>
  <c r="BB107" i="6"/>
  <c r="BA107" i="6"/>
  <c r="AZ107" i="6"/>
  <c r="AY107" i="6"/>
  <c r="AR107" i="6"/>
  <c r="AB107" i="6" s="1"/>
  <c r="G107" i="6"/>
  <c r="DH106" i="6"/>
  <c r="DG106" i="6"/>
  <c r="DF106" i="6"/>
  <c r="DC106" i="6"/>
  <c r="DB106" i="6"/>
  <c r="DA106" i="6"/>
  <c r="CZ106" i="6"/>
  <c r="CY106" i="6"/>
  <c r="CX106" i="6"/>
  <c r="CW106" i="6"/>
  <c r="CV106" i="6"/>
  <c r="CU106" i="6"/>
  <c r="CT106" i="6"/>
  <c r="CS106" i="6"/>
  <c r="CR106" i="6"/>
  <c r="CQ106" i="6"/>
  <c r="CI106" i="6"/>
  <c r="BU106" i="6"/>
  <c r="CP106" i="6" s="1"/>
  <c r="BQ106" i="6"/>
  <c r="BP106" i="6"/>
  <c r="BL106" i="6"/>
  <c r="BK106" i="6"/>
  <c r="BJ106" i="6"/>
  <c r="BI106" i="6"/>
  <c r="BH106" i="6"/>
  <c r="BG106" i="6"/>
  <c r="BF106" i="6"/>
  <c r="BE106" i="6"/>
  <c r="BD106" i="6"/>
  <c r="BC106" i="6"/>
  <c r="BA106" i="6"/>
  <c r="AZ106" i="6"/>
  <c r="AR106" i="6"/>
  <c r="AG106" i="6"/>
  <c r="AE106" i="6"/>
  <c r="AD106" i="6"/>
  <c r="AY106" i="6" s="1"/>
  <c r="V106" i="6"/>
  <c r="G106" i="6" s="1"/>
  <c r="DG105" i="6"/>
  <c r="DF105" i="6"/>
  <c r="DC105" i="6"/>
  <c r="DB105" i="6"/>
  <c r="DA105" i="6"/>
  <c r="CZ105" i="6"/>
  <c r="CY105" i="6"/>
  <c r="CX105" i="6"/>
  <c r="CW105" i="6"/>
  <c r="CV105" i="6"/>
  <c r="CU105" i="6"/>
  <c r="CT105" i="6"/>
  <c r="CS105" i="6"/>
  <c r="CR105" i="6"/>
  <c r="CQ105" i="6"/>
  <c r="CP105" i="6"/>
  <c r="CM105" i="6"/>
  <c r="CI105" i="6"/>
  <c r="DD105" i="6" s="1"/>
  <c r="BS105" i="6"/>
  <c r="BR105" i="6" s="1"/>
  <c r="CN105" i="6" s="1"/>
  <c r="BP105" i="6"/>
  <c r="BL105" i="6"/>
  <c r="BK105" i="6"/>
  <c r="BJ105" i="6"/>
  <c r="BI105" i="6"/>
  <c r="BH105" i="6"/>
  <c r="BG105" i="6"/>
  <c r="BF105" i="6"/>
  <c r="BE105" i="6"/>
  <c r="BD105" i="6"/>
  <c r="BC105" i="6"/>
  <c r="BB105" i="6"/>
  <c r="BA105" i="6"/>
  <c r="AZ105" i="6"/>
  <c r="AY105" i="6"/>
  <c r="AV105" i="6"/>
  <c r="AR105" i="6"/>
  <c r="BM105" i="6" s="1"/>
  <c r="Z105" i="6"/>
  <c r="G105" i="6" s="1"/>
  <c r="V105" i="6"/>
  <c r="DG104" i="6"/>
  <c r="DF104" i="6"/>
  <c r="DC104" i="6"/>
  <c r="DB104" i="6"/>
  <c r="DA104" i="6"/>
  <c r="CZ104" i="6"/>
  <c r="CY104" i="6"/>
  <c r="CX104" i="6"/>
  <c r="CW104" i="6"/>
  <c r="CV104" i="6"/>
  <c r="CU104" i="6"/>
  <c r="CT104" i="6"/>
  <c r="CS104" i="6"/>
  <c r="CR104" i="6"/>
  <c r="CQ104" i="6"/>
  <c r="CP104" i="6"/>
  <c r="CM104" i="6"/>
  <c r="BP104" i="6"/>
  <c r="BL104" i="6"/>
  <c r="BK104" i="6"/>
  <c r="BJ104" i="6"/>
  <c r="BI104" i="6"/>
  <c r="BH104" i="6"/>
  <c r="BG104" i="6"/>
  <c r="BF104" i="6"/>
  <c r="BE104" i="6"/>
  <c r="BD104" i="6"/>
  <c r="BC104" i="6"/>
  <c r="BB104" i="6"/>
  <c r="BA104" i="6"/>
  <c r="AZ104" i="6"/>
  <c r="AY104" i="6"/>
  <c r="AV104" i="6"/>
  <c r="AR104" i="6"/>
  <c r="Z104" i="6"/>
  <c r="DH103" i="6"/>
  <c r="DG103" i="6"/>
  <c r="DF103" i="6"/>
  <c r="DC103" i="6"/>
  <c r="DB103" i="6"/>
  <c r="DA103" i="6"/>
  <c r="CZ103" i="6"/>
  <c r="CY103" i="6"/>
  <c r="CX103" i="6"/>
  <c r="CW103" i="6"/>
  <c r="CV103" i="6"/>
  <c r="CU103" i="6"/>
  <c r="CT103" i="6"/>
  <c r="CS103" i="6"/>
  <c r="CR103" i="6"/>
  <c r="CQ103" i="6"/>
  <c r="CP103" i="6"/>
  <c r="CH103" i="6"/>
  <c r="CI103" i="6" s="1"/>
  <c r="BS103" i="6" s="1"/>
  <c r="BQ103" i="6"/>
  <c r="BP103" i="6"/>
  <c r="BK103" i="6"/>
  <c r="BJ103" i="6"/>
  <c r="BI103" i="6"/>
  <c r="BH103" i="6"/>
  <c r="BG103" i="6"/>
  <c r="BF103" i="6"/>
  <c r="BE103" i="6"/>
  <c r="BD103" i="6"/>
  <c r="BC103" i="6"/>
  <c r="BB103" i="6"/>
  <c r="BA103" i="6"/>
  <c r="AZ103" i="6"/>
  <c r="AY103" i="6"/>
  <c r="AR103" i="6"/>
  <c r="AQ103" i="6"/>
  <c r="Z103" i="6"/>
  <c r="V103" i="6"/>
  <c r="DH102" i="6"/>
  <c r="DG102" i="6"/>
  <c r="DF102" i="6"/>
  <c r="DC102" i="6"/>
  <c r="DB102" i="6"/>
  <c r="DA102" i="6"/>
  <c r="CZ102" i="6"/>
  <c r="CY102" i="6"/>
  <c r="CX102" i="6"/>
  <c r="CW102" i="6"/>
  <c r="CV102" i="6"/>
  <c r="CU102" i="6"/>
  <c r="CT102" i="6"/>
  <c r="CS102" i="6"/>
  <c r="CR102" i="6"/>
  <c r="CQ102" i="6"/>
  <c r="CP102" i="6"/>
  <c r="CI102" i="6"/>
  <c r="DD102" i="6" s="1"/>
  <c r="BQ102" i="6"/>
  <c r="BP102" i="6"/>
  <c r="BO102" i="6"/>
  <c r="BO145" i="6" s="1"/>
  <c r="BL102" i="6"/>
  <c r="BK102" i="6"/>
  <c r="BJ102" i="6"/>
  <c r="BI102" i="6"/>
  <c r="BH102" i="6"/>
  <c r="BG102" i="6"/>
  <c r="BF102" i="6"/>
  <c r="BE102" i="6"/>
  <c r="BD102" i="6"/>
  <c r="BC102" i="6"/>
  <c r="BB102" i="6"/>
  <c r="BA102" i="6"/>
  <c r="AZ102" i="6"/>
  <c r="AY102" i="6"/>
  <c r="AR102" i="6"/>
  <c r="BM102" i="6" s="1"/>
  <c r="G102" i="6"/>
  <c r="DH101" i="6"/>
  <c r="DG101" i="6"/>
  <c r="DF101" i="6"/>
  <c r="DD101" i="6"/>
  <c r="DC101" i="6"/>
  <c r="DB101" i="6"/>
  <c r="DA101" i="6"/>
  <c r="CZ101" i="6"/>
  <c r="CY101" i="6"/>
  <c r="CX101" i="6"/>
  <c r="CW101" i="6"/>
  <c r="CV101" i="6"/>
  <c r="CU101" i="6"/>
  <c r="CT101" i="6"/>
  <c r="CS101" i="6"/>
  <c r="CR101" i="6"/>
  <c r="CQ101" i="6"/>
  <c r="CP101" i="6"/>
  <c r="BS101" i="6"/>
  <c r="BQ101" i="6"/>
  <c r="BP101" i="6"/>
  <c r="BL101" i="6"/>
  <c r="BK101" i="6"/>
  <c r="BJ101" i="6"/>
  <c r="BI101" i="6"/>
  <c r="BH101" i="6"/>
  <c r="BG101" i="6"/>
  <c r="BF101" i="6"/>
  <c r="BE101" i="6"/>
  <c r="BD101" i="6"/>
  <c r="BC101" i="6"/>
  <c r="BB101" i="6"/>
  <c r="BA101" i="6"/>
  <c r="AZ101" i="6"/>
  <c r="AY101" i="6"/>
  <c r="AB101" i="6"/>
  <c r="V101" i="6"/>
  <c r="DH100" i="6"/>
  <c r="DG100" i="6"/>
  <c r="DF100" i="6"/>
  <c r="DB100" i="6"/>
  <c r="DA100" i="6"/>
  <c r="CZ100" i="6"/>
  <c r="CY100" i="6"/>
  <c r="CX100" i="6"/>
  <c r="CW100" i="6"/>
  <c r="CV100" i="6"/>
  <c r="CU100" i="6"/>
  <c r="CT100" i="6"/>
  <c r="CS100" i="6"/>
  <c r="CR100" i="6"/>
  <c r="CQ100" i="6"/>
  <c r="CP100" i="6"/>
  <c r="CI100" i="6"/>
  <c r="DD100" i="6" s="1"/>
  <c r="CH100" i="6"/>
  <c r="CH113" i="6" s="1"/>
  <c r="BQ100" i="6"/>
  <c r="BP100" i="6"/>
  <c r="BK100" i="6"/>
  <c r="BJ100" i="6"/>
  <c r="BI100" i="6"/>
  <c r="BH100" i="6"/>
  <c r="BG100" i="6"/>
  <c r="BF100" i="6"/>
  <c r="BE100" i="6"/>
  <c r="BD100" i="6"/>
  <c r="BC100" i="6"/>
  <c r="BB100" i="6"/>
  <c r="BA100" i="6"/>
  <c r="AZ100" i="6"/>
  <c r="AY100" i="6"/>
  <c r="AR100" i="6"/>
  <c r="BM100" i="6" s="1"/>
  <c r="AQ100" i="6"/>
  <c r="U100" i="6"/>
  <c r="G100" i="6" s="1"/>
  <c r="DH99" i="6"/>
  <c r="DG99" i="6"/>
  <c r="DF99" i="6"/>
  <c r="DC99" i="6"/>
  <c r="DB99" i="6"/>
  <c r="DA99" i="6"/>
  <c r="CZ99" i="6"/>
  <c r="CY99" i="6"/>
  <c r="CX99" i="6"/>
  <c r="CW99" i="6"/>
  <c r="CV99" i="6"/>
  <c r="CU99" i="6"/>
  <c r="CT99" i="6"/>
  <c r="CS99" i="6"/>
  <c r="CR99" i="6"/>
  <c r="CQ99" i="6"/>
  <c r="CP99" i="6"/>
  <c r="CI99" i="6"/>
  <c r="DD99" i="6" s="1"/>
  <c r="BQ99" i="6"/>
  <c r="BP99" i="6"/>
  <c r="BM99" i="6"/>
  <c r="BL99" i="6"/>
  <c r="BK99" i="6"/>
  <c r="BJ99" i="6"/>
  <c r="BI99" i="6"/>
  <c r="BH99" i="6"/>
  <c r="BG99" i="6"/>
  <c r="BF99" i="6"/>
  <c r="BE99" i="6"/>
  <c r="BD99" i="6"/>
  <c r="BC99" i="6"/>
  <c r="BB99" i="6"/>
  <c r="BA99" i="6"/>
  <c r="AZ99" i="6"/>
  <c r="AY99" i="6"/>
  <c r="AR99" i="6"/>
  <c r="AB99" i="6"/>
  <c r="G99" i="6"/>
  <c r="DG98" i="6"/>
  <c r="DF98" i="6"/>
  <c r="DC98" i="6"/>
  <c r="DB98" i="6"/>
  <c r="DA98" i="6"/>
  <c r="CZ98" i="6"/>
  <c r="CY98" i="6"/>
  <c r="CX98" i="6"/>
  <c r="CW98" i="6"/>
  <c r="CV98" i="6"/>
  <c r="CU98" i="6"/>
  <c r="CT98" i="6"/>
  <c r="CS98" i="6"/>
  <c r="CR98" i="6"/>
  <c r="CQ98" i="6"/>
  <c r="CP98" i="6"/>
  <c r="CM98" i="6"/>
  <c r="BS98" i="6"/>
  <c r="BP98" i="6"/>
  <c r="BL98" i="6"/>
  <c r="BK98" i="6"/>
  <c r="BJ98" i="6"/>
  <c r="BI98" i="6"/>
  <c r="BH98" i="6"/>
  <c r="BG98" i="6"/>
  <c r="BF98" i="6"/>
  <c r="BE98" i="6"/>
  <c r="BD98" i="6"/>
  <c r="BC98" i="6"/>
  <c r="BB98" i="6"/>
  <c r="BA98" i="6"/>
  <c r="AZ98" i="6"/>
  <c r="AY98" i="6"/>
  <c r="AV98" i="6"/>
  <c r="AR98" i="6"/>
  <c r="Z98" i="6"/>
  <c r="V98" i="6"/>
  <c r="DH97" i="6"/>
  <c r="DG97" i="6"/>
  <c r="DF97" i="6"/>
  <c r="DC97" i="6"/>
  <c r="DB97" i="6"/>
  <c r="DA97" i="6"/>
  <c r="CZ97" i="6"/>
  <c r="CY97" i="6"/>
  <c r="CX97" i="6"/>
  <c r="CW97" i="6"/>
  <c r="CV97" i="6"/>
  <c r="CU97" i="6"/>
  <c r="CT97" i="6"/>
  <c r="CS97" i="6"/>
  <c r="CR97" i="6"/>
  <c r="CQ97" i="6"/>
  <c r="CP97" i="6"/>
  <c r="CI97" i="6"/>
  <c r="BS97" i="6" s="1"/>
  <c r="DM97" i="6" s="1"/>
  <c r="BQ97" i="6"/>
  <c r="BP97" i="6"/>
  <c r="BL97" i="6"/>
  <c r="BK97" i="6"/>
  <c r="BJ97" i="6"/>
  <c r="BI97" i="6"/>
  <c r="BH97" i="6"/>
  <c r="BG97" i="6"/>
  <c r="BF97" i="6"/>
  <c r="BE97" i="6"/>
  <c r="BD97" i="6"/>
  <c r="BC97" i="6"/>
  <c r="BB97" i="6"/>
  <c r="BA97" i="6"/>
  <c r="AZ97" i="6"/>
  <c r="AY97" i="6"/>
  <c r="AR97" i="6"/>
  <c r="AB97" i="6" s="1"/>
  <c r="V97" i="6"/>
  <c r="G97" i="6" s="1"/>
  <c r="DH96" i="6"/>
  <c r="DG96" i="6"/>
  <c r="DF96" i="6"/>
  <c r="DD96" i="6"/>
  <c r="DC96" i="6"/>
  <c r="DB96" i="6"/>
  <c r="DA96" i="6"/>
  <c r="CZ96" i="6"/>
  <c r="CY96" i="6"/>
  <c r="CX96" i="6"/>
  <c r="CW96" i="6"/>
  <c r="CV96" i="6"/>
  <c r="CU96" i="6"/>
  <c r="CT96" i="6"/>
  <c r="CS96" i="6"/>
  <c r="CR96" i="6"/>
  <c r="CQ96" i="6"/>
  <c r="CP96" i="6"/>
  <c r="CI96" i="6"/>
  <c r="BS96" i="6"/>
  <c r="DM96" i="6" s="1"/>
  <c r="BQ96" i="6"/>
  <c r="BP96" i="6"/>
  <c r="BL96" i="6"/>
  <c r="BK96" i="6"/>
  <c r="BJ96" i="6"/>
  <c r="BI96" i="6"/>
  <c r="BH96" i="6"/>
  <c r="BG96" i="6"/>
  <c r="BF96" i="6"/>
  <c r="BE96" i="6"/>
  <c r="BD96" i="6"/>
  <c r="BC96" i="6"/>
  <c r="BB96" i="6"/>
  <c r="BA96" i="6"/>
  <c r="AZ96" i="6"/>
  <c r="AY96" i="6"/>
  <c r="AR96" i="6"/>
  <c r="AB96" i="6" s="1"/>
  <c r="V96" i="6"/>
  <c r="G96" i="6" s="1"/>
  <c r="DH95" i="6"/>
  <c r="DG95" i="6"/>
  <c r="DF95" i="6"/>
  <c r="DC95" i="6"/>
  <c r="DB95" i="6"/>
  <c r="DA95" i="6"/>
  <c r="CZ95" i="6"/>
  <c r="CY95" i="6"/>
  <c r="CX95" i="6"/>
  <c r="CW95" i="6"/>
  <c r="CV95" i="6"/>
  <c r="CU95" i="6"/>
  <c r="CT95" i="6"/>
  <c r="CS95" i="6"/>
  <c r="CR95" i="6"/>
  <c r="CQ95" i="6"/>
  <c r="CP95" i="6"/>
  <c r="CI95" i="6"/>
  <c r="BQ95" i="6"/>
  <c r="BP95" i="6"/>
  <c r="BL95" i="6"/>
  <c r="BK95" i="6"/>
  <c r="BJ95" i="6"/>
  <c r="BI95" i="6"/>
  <c r="BH95" i="6"/>
  <c r="BG95" i="6"/>
  <c r="BF95" i="6"/>
  <c r="BE95" i="6"/>
  <c r="BD95" i="6"/>
  <c r="BC95" i="6"/>
  <c r="BB95" i="6"/>
  <c r="BA95" i="6"/>
  <c r="AZ95" i="6"/>
  <c r="AY95" i="6"/>
  <c r="AR95" i="6"/>
  <c r="V95" i="6"/>
  <c r="G95" i="6" s="1"/>
  <c r="DE93" i="6"/>
  <c r="CL93" i="6"/>
  <c r="CK93" i="6"/>
  <c r="CI93" i="6"/>
  <c r="CH93" i="6"/>
  <c r="CG93" i="6"/>
  <c r="CD93" i="6"/>
  <c r="CC93" i="6"/>
  <c r="CB93" i="6"/>
  <c r="CA93" i="6"/>
  <c r="BZ93" i="6"/>
  <c r="BW93" i="6"/>
  <c r="BV93" i="6"/>
  <c r="BU93" i="6"/>
  <c r="BT93" i="6"/>
  <c r="BN93" i="6"/>
  <c r="AU93" i="6"/>
  <c r="AT93" i="6"/>
  <c r="AS93" i="6"/>
  <c r="AR93" i="6"/>
  <c r="AQ93" i="6"/>
  <c r="AP93" i="6"/>
  <c r="AM93" i="6"/>
  <c r="AL93" i="6"/>
  <c r="AK93" i="6"/>
  <c r="AJ93" i="6"/>
  <c r="AI93" i="6"/>
  <c r="AF93" i="6"/>
  <c r="AE93" i="6"/>
  <c r="AD93" i="6"/>
  <c r="Y93" i="6"/>
  <c r="X93" i="6"/>
  <c r="W93" i="6"/>
  <c r="V93" i="6"/>
  <c r="U93" i="6"/>
  <c r="T93" i="6"/>
  <c r="R93" i="6"/>
  <c r="Q93" i="6"/>
  <c r="P93" i="6"/>
  <c r="O93" i="6"/>
  <c r="N93" i="6"/>
  <c r="M93" i="6"/>
  <c r="J93" i="6"/>
  <c r="I93" i="6"/>
  <c r="H93" i="6"/>
  <c r="DG92" i="6"/>
  <c r="DF92" i="6"/>
  <c r="DD92" i="6"/>
  <c r="DC92" i="6"/>
  <c r="DB92" i="6"/>
  <c r="DA92" i="6"/>
  <c r="CZ92" i="6"/>
  <c r="CY92" i="6"/>
  <c r="CX92" i="6"/>
  <c r="CW92" i="6"/>
  <c r="CV92" i="6"/>
  <c r="CU92" i="6"/>
  <c r="CT92" i="6"/>
  <c r="CS92" i="6"/>
  <c r="CR92" i="6"/>
  <c r="CQ92" i="6"/>
  <c r="CP92" i="6"/>
  <c r="CM92" i="6"/>
  <c r="BS92" i="6" s="1"/>
  <c r="BP92" i="6"/>
  <c r="BO92" i="6"/>
  <c r="BM92" i="6"/>
  <c r="BL92" i="6"/>
  <c r="BK92" i="6"/>
  <c r="BJ92" i="6"/>
  <c r="BI92" i="6"/>
  <c r="BH92" i="6"/>
  <c r="BG92" i="6"/>
  <c r="BF92" i="6"/>
  <c r="BE92" i="6"/>
  <c r="BD92" i="6"/>
  <c r="BC92" i="6"/>
  <c r="BB92" i="6"/>
  <c r="BA92" i="6"/>
  <c r="AZ92" i="6"/>
  <c r="AY92" i="6"/>
  <c r="AV92" i="6"/>
  <c r="AB92" i="6"/>
  <c r="Z92" i="6"/>
  <c r="DH92" i="6" s="1"/>
  <c r="G92" i="6"/>
  <c r="DH91" i="6"/>
  <c r="DG91" i="6"/>
  <c r="DF91" i="6"/>
  <c r="DD91" i="6"/>
  <c r="DC91" i="6"/>
  <c r="DB91" i="6"/>
  <c r="CZ91" i="6"/>
  <c r="CY91" i="6"/>
  <c r="CX91" i="6"/>
  <c r="CW91" i="6"/>
  <c r="CV91" i="6"/>
  <c r="CU91" i="6"/>
  <c r="CT91" i="6"/>
  <c r="CS91" i="6"/>
  <c r="CR91" i="6"/>
  <c r="CQ91" i="6"/>
  <c r="CP91" i="6"/>
  <c r="BX91" i="6"/>
  <c r="CF91" i="6" s="1"/>
  <c r="BQ91" i="6"/>
  <c r="BP91" i="6"/>
  <c r="BO91" i="6"/>
  <c r="BM91" i="6"/>
  <c r="BL91" i="6"/>
  <c r="BK91" i="6"/>
  <c r="BI91" i="6"/>
  <c r="BH91" i="6"/>
  <c r="BG91" i="6"/>
  <c r="BF91" i="6"/>
  <c r="BE91" i="6"/>
  <c r="BD91" i="6"/>
  <c r="BC91" i="6"/>
  <c r="BA91" i="6"/>
  <c r="AZ91" i="6"/>
  <c r="AY91" i="6"/>
  <c r="AO91" i="6"/>
  <c r="AG91" i="6"/>
  <c r="BB91" i="6" s="1"/>
  <c r="AB91" i="6"/>
  <c r="S91" i="6"/>
  <c r="G91" i="6" s="1"/>
  <c r="DG90" i="6"/>
  <c r="DF90" i="6"/>
  <c r="DD90" i="6"/>
  <c r="DC90" i="6"/>
  <c r="DB90" i="6"/>
  <c r="DA90" i="6"/>
  <c r="CZ90" i="6"/>
  <c r="CY90" i="6"/>
  <c r="CX90" i="6"/>
  <c r="CW90" i="6"/>
  <c r="CV90" i="6"/>
  <c r="CU90" i="6"/>
  <c r="CT90" i="6"/>
  <c r="CR90" i="6"/>
  <c r="CQ90" i="6"/>
  <c r="CP90" i="6"/>
  <c r="BX90" i="6"/>
  <c r="BS90" i="6" s="1"/>
  <c r="BP90" i="6"/>
  <c r="BM90" i="6"/>
  <c r="BL90" i="6"/>
  <c r="BK90" i="6"/>
  <c r="BJ90" i="6"/>
  <c r="BI90" i="6"/>
  <c r="BH90" i="6"/>
  <c r="BG90" i="6"/>
  <c r="BF90" i="6"/>
  <c r="BE90" i="6"/>
  <c r="BD90" i="6"/>
  <c r="BC90" i="6"/>
  <c r="BA90" i="6"/>
  <c r="AZ90" i="6"/>
  <c r="AY90" i="6"/>
  <c r="AG90" i="6"/>
  <c r="Z90" i="6"/>
  <c r="G90" i="6" s="1"/>
  <c r="DH89" i="6"/>
  <c r="DG89" i="6"/>
  <c r="DF89" i="6"/>
  <c r="DD89" i="6"/>
  <c r="DC89" i="6"/>
  <c r="DB89" i="6"/>
  <c r="DA89" i="6"/>
  <c r="CZ89" i="6"/>
  <c r="CY89" i="6"/>
  <c r="CX89" i="6"/>
  <c r="CW89" i="6"/>
  <c r="CV89" i="6"/>
  <c r="CU89" i="6"/>
  <c r="CT89" i="6"/>
  <c r="CR89" i="6"/>
  <c r="CQ89" i="6"/>
  <c r="CP89" i="6"/>
  <c r="BX89" i="6"/>
  <c r="CS89" i="6" s="1"/>
  <c r="BS89" i="6"/>
  <c r="BQ89" i="6"/>
  <c r="BP89" i="6"/>
  <c r="BM89" i="6"/>
  <c r="BL89" i="6"/>
  <c r="BK89" i="6"/>
  <c r="BJ89" i="6"/>
  <c r="BI89" i="6"/>
  <c r="BH89" i="6"/>
  <c r="BG89" i="6"/>
  <c r="BF89" i="6"/>
  <c r="BE89" i="6"/>
  <c r="BD89" i="6"/>
  <c r="BC89" i="6"/>
  <c r="BA89" i="6"/>
  <c r="AZ89" i="6"/>
  <c r="AY89" i="6"/>
  <c r="AG89" i="6"/>
  <c r="BB89" i="6" s="1"/>
  <c r="AB89" i="6"/>
  <c r="G89" i="6"/>
  <c r="DH88" i="6"/>
  <c r="DG88" i="6"/>
  <c r="DF88" i="6"/>
  <c r="DD88" i="6"/>
  <c r="DC88" i="6"/>
  <c r="DB88" i="6"/>
  <c r="DA88" i="6"/>
  <c r="CZ88" i="6"/>
  <c r="CY88" i="6"/>
  <c r="CX88" i="6"/>
  <c r="CW88" i="6"/>
  <c r="CV88" i="6"/>
  <c r="CU88" i="6"/>
  <c r="CT88" i="6"/>
  <c r="CR88" i="6"/>
  <c r="CQ88" i="6"/>
  <c r="CP88" i="6"/>
  <c r="BX88" i="6"/>
  <c r="BS88" i="6" s="1"/>
  <c r="BR88" i="6" s="1"/>
  <c r="CN88" i="6" s="1"/>
  <c r="BQ88" i="6"/>
  <c r="BP88" i="6"/>
  <c r="BM88" i="6"/>
  <c r="BL88" i="6"/>
  <c r="BK88" i="6"/>
  <c r="BJ88" i="6"/>
  <c r="BI88" i="6"/>
  <c r="BH88" i="6"/>
  <c r="BG88" i="6"/>
  <c r="BF88" i="6"/>
  <c r="BE88" i="6"/>
  <c r="BD88" i="6"/>
  <c r="BC88" i="6"/>
  <c r="BA88" i="6"/>
  <c r="AZ88" i="6"/>
  <c r="AY88" i="6"/>
  <c r="AG88" i="6"/>
  <c r="BB88" i="6" s="1"/>
  <c r="AB88" i="6"/>
  <c r="AA88" i="6" s="1"/>
  <c r="AW88" i="6" s="1"/>
  <c r="G88" i="6"/>
  <c r="DH87" i="6"/>
  <c r="DG87" i="6"/>
  <c r="DF87" i="6"/>
  <c r="DD87" i="6"/>
  <c r="DC87" i="6"/>
  <c r="DB87" i="6"/>
  <c r="DA87" i="6"/>
  <c r="CZ87" i="6"/>
  <c r="CY87" i="6"/>
  <c r="CX87" i="6"/>
  <c r="CW87" i="6"/>
  <c r="CV87" i="6"/>
  <c r="CU87" i="6"/>
  <c r="CT87" i="6"/>
  <c r="CS87" i="6"/>
  <c r="CR87" i="6"/>
  <c r="CQ87" i="6"/>
  <c r="CP87" i="6"/>
  <c r="BS87" i="6"/>
  <c r="BQ87" i="6"/>
  <c r="BP87" i="6"/>
  <c r="BO87" i="6"/>
  <c r="BM87" i="6"/>
  <c r="BL87" i="6"/>
  <c r="BK87" i="6"/>
  <c r="BJ87" i="6"/>
  <c r="BI87" i="6"/>
  <c r="BH87" i="6"/>
  <c r="BG87" i="6"/>
  <c r="BF87" i="6"/>
  <c r="BE87" i="6"/>
  <c r="BD87" i="6"/>
  <c r="BC87" i="6"/>
  <c r="BB87" i="6"/>
  <c r="BA87" i="6"/>
  <c r="AZ87" i="6"/>
  <c r="AY87" i="6"/>
  <c r="AB87" i="6"/>
  <c r="G87" i="6"/>
  <c r="DH86" i="6"/>
  <c r="DG86" i="6"/>
  <c r="DF86" i="6"/>
  <c r="DD86" i="6"/>
  <c r="DC86" i="6"/>
  <c r="DB86" i="6"/>
  <c r="DA86" i="6"/>
  <c r="CZ86" i="6"/>
  <c r="CY86" i="6"/>
  <c r="CX86" i="6"/>
  <c r="CW86" i="6"/>
  <c r="CV86" i="6"/>
  <c r="CU86" i="6"/>
  <c r="CT86" i="6"/>
  <c r="CR86" i="6"/>
  <c r="CQ86" i="6"/>
  <c r="CP86" i="6"/>
  <c r="BX86" i="6"/>
  <c r="BQ86" i="6"/>
  <c r="BP86" i="6"/>
  <c r="BM86" i="6"/>
  <c r="BL86" i="6"/>
  <c r="BK86" i="6"/>
  <c r="BJ86" i="6"/>
  <c r="BI86" i="6"/>
  <c r="BH86" i="6"/>
  <c r="BG86" i="6"/>
  <c r="BF86" i="6"/>
  <c r="BE86" i="6"/>
  <c r="BD86" i="6"/>
  <c r="BC86" i="6"/>
  <c r="BB86" i="6"/>
  <c r="BA86" i="6"/>
  <c r="AZ86" i="6"/>
  <c r="AY86" i="6"/>
  <c r="AG86" i="6"/>
  <c r="AB86" i="6"/>
  <c r="G86" i="6"/>
  <c r="DH85" i="6"/>
  <c r="DG85" i="6"/>
  <c r="DF85" i="6"/>
  <c r="DD85" i="6"/>
  <c r="DC85" i="6"/>
  <c r="DB85" i="6"/>
  <c r="DA85" i="6"/>
  <c r="CZ85" i="6"/>
  <c r="CY85" i="6"/>
  <c r="CX85" i="6"/>
  <c r="CW85" i="6"/>
  <c r="CV85" i="6"/>
  <c r="CU85" i="6"/>
  <c r="CT85" i="6"/>
  <c r="CS85" i="6"/>
  <c r="CR85" i="6"/>
  <c r="CQ85" i="6"/>
  <c r="CP85" i="6"/>
  <c r="CF85" i="6"/>
  <c r="BS85" i="6" s="1"/>
  <c r="DM85" i="6" s="1"/>
  <c r="BQ85" i="6"/>
  <c r="BP85" i="6"/>
  <c r="BO85" i="6"/>
  <c r="BM85" i="6"/>
  <c r="BL85" i="6"/>
  <c r="BK85" i="6"/>
  <c r="BI85" i="6"/>
  <c r="BH85" i="6"/>
  <c r="BG85" i="6"/>
  <c r="BF85" i="6"/>
  <c r="BE85" i="6"/>
  <c r="BD85" i="6"/>
  <c r="BC85" i="6"/>
  <c r="BA85" i="6"/>
  <c r="AZ85" i="6"/>
  <c r="AY85" i="6"/>
  <c r="AO85" i="6"/>
  <c r="BJ85" i="6" s="1"/>
  <c r="AG85" i="6"/>
  <c r="BB85" i="6" s="1"/>
  <c r="AB85" i="6"/>
  <c r="G85" i="6"/>
  <c r="DH84" i="6"/>
  <c r="DG84" i="6"/>
  <c r="DF84" i="6"/>
  <c r="DD84" i="6"/>
  <c r="DC84" i="6"/>
  <c r="DB84" i="6"/>
  <c r="DA84" i="6"/>
  <c r="CZ84" i="6"/>
  <c r="CY84" i="6"/>
  <c r="CX84" i="6"/>
  <c r="CW84" i="6"/>
  <c r="CV84" i="6"/>
  <c r="CU84" i="6"/>
  <c r="CT84" i="6"/>
  <c r="CS84" i="6"/>
  <c r="CR84" i="6"/>
  <c r="CQ84" i="6"/>
  <c r="CP84" i="6"/>
  <c r="BS84" i="6"/>
  <c r="BQ84" i="6"/>
  <c r="BP84" i="6"/>
  <c r="BM84" i="6"/>
  <c r="BL84" i="6"/>
  <c r="BK84" i="6"/>
  <c r="BI84" i="6"/>
  <c r="BH84" i="6"/>
  <c r="BG84" i="6"/>
  <c r="BF84" i="6"/>
  <c r="BE84" i="6"/>
  <c r="BD84" i="6"/>
  <c r="BC84" i="6"/>
  <c r="BB84" i="6"/>
  <c r="BA84" i="6"/>
  <c r="AZ84" i="6"/>
  <c r="AY84" i="6"/>
  <c r="AB84" i="6"/>
  <c r="S84" i="6"/>
  <c r="G84" i="6" s="1"/>
  <c r="AA84" i="6" s="1"/>
  <c r="AW84" i="6" s="1"/>
  <c r="DH83" i="6"/>
  <c r="DG83" i="6"/>
  <c r="DF83" i="6"/>
  <c r="DD83" i="6"/>
  <c r="DC83" i="6"/>
  <c r="DB83" i="6"/>
  <c r="DA83" i="6"/>
  <c r="CZ83" i="6"/>
  <c r="CY83" i="6"/>
  <c r="CX83" i="6"/>
  <c r="CW83" i="6"/>
  <c r="CV83" i="6"/>
  <c r="CU83" i="6"/>
  <c r="CT83" i="6"/>
  <c r="CS83" i="6"/>
  <c r="CR83" i="6"/>
  <c r="CQ83" i="6"/>
  <c r="CP83" i="6"/>
  <c r="BX83" i="6"/>
  <c r="BS83" i="6"/>
  <c r="BR83" i="6" s="1"/>
  <c r="CN83" i="6" s="1"/>
  <c r="BQ83" i="6"/>
  <c r="BP83" i="6"/>
  <c r="BM83" i="6"/>
  <c r="BL83" i="6"/>
  <c r="BK83" i="6"/>
  <c r="BJ83" i="6"/>
  <c r="BI83" i="6"/>
  <c r="BH83" i="6"/>
  <c r="BG83" i="6"/>
  <c r="BF83" i="6"/>
  <c r="BE83" i="6"/>
  <c r="BD83" i="6"/>
  <c r="BC83" i="6"/>
  <c r="BA83" i="6"/>
  <c r="AZ83" i="6"/>
  <c r="AY83" i="6"/>
  <c r="AG83" i="6"/>
  <c r="G83" i="6"/>
  <c r="DH82" i="6"/>
  <c r="DG82" i="6"/>
  <c r="DF82" i="6"/>
  <c r="DD82" i="6"/>
  <c r="DC82" i="6"/>
  <c r="DB82" i="6"/>
  <c r="CZ82" i="6"/>
  <c r="CY82" i="6"/>
  <c r="CX82" i="6"/>
  <c r="CW82" i="6"/>
  <c r="CV82" i="6"/>
  <c r="CU82" i="6"/>
  <c r="CT82" i="6"/>
  <c r="CS82" i="6"/>
  <c r="CR82" i="6"/>
  <c r="CQ82" i="6"/>
  <c r="CP82" i="6"/>
  <c r="CF82" i="6"/>
  <c r="BS82" i="6" s="1"/>
  <c r="BR82" i="6" s="1"/>
  <c r="CN82" i="6" s="1"/>
  <c r="BQ82" i="6"/>
  <c r="BP82" i="6"/>
  <c r="BM82" i="6"/>
  <c r="BL82" i="6"/>
  <c r="BK82" i="6"/>
  <c r="BI82" i="6"/>
  <c r="BH82" i="6"/>
  <c r="BG82" i="6"/>
  <c r="BF82" i="6"/>
  <c r="BE82" i="6"/>
  <c r="BD82" i="6"/>
  <c r="BC82" i="6"/>
  <c r="BA82" i="6"/>
  <c r="AZ82" i="6"/>
  <c r="AY82" i="6"/>
  <c r="AO82" i="6"/>
  <c r="BJ82" i="6" s="1"/>
  <c r="AG82" i="6"/>
  <c r="BB82" i="6" s="1"/>
  <c r="AB82" i="6"/>
  <c r="AA82" i="6" s="1"/>
  <c r="AW82" i="6" s="1"/>
  <c r="S82" i="6"/>
  <c r="G82" i="6"/>
  <c r="DH81" i="6"/>
  <c r="DG81" i="6"/>
  <c r="DF81" i="6"/>
  <c r="DD81" i="6"/>
  <c r="DC81" i="6"/>
  <c r="DB81" i="6"/>
  <c r="DA81" i="6"/>
  <c r="CZ81" i="6"/>
  <c r="CY81" i="6"/>
  <c r="CX81" i="6"/>
  <c r="CW81" i="6"/>
  <c r="CV81" i="6"/>
  <c r="CU81" i="6"/>
  <c r="CT81" i="6"/>
  <c r="CS81" i="6"/>
  <c r="CR81" i="6"/>
  <c r="CQ81" i="6"/>
  <c r="CP81" i="6"/>
  <c r="BS81" i="6"/>
  <c r="BR81" i="6" s="1"/>
  <c r="CN81" i="6" s="1"/>
  <c r="BQ81" i="6"/>
  <c r="BP81" i="6"/>
  <c r="BM81" i="6"/>
  <c r="BL81" i="6"/>
  <c r="BK81" i="6"/>
  <c r="BJ81" i="6"/>
  <c r="BI81" i="6"/>
  <c r="BH81" i="6"/>
  <c r="BG81" i="6"/>
  <c r="BF81" i="6"/>
  <c r="BE81" i="6"/>
  <c r="BD81" i="6"/>
  <c r="BC81" i="6"/>
  <c r="BA81" i="6"/>
  <c r="AZ81" i="6"/>
  <c r="AY81" i="6"/>
  <c r="AG81" i="6"/>
  <c r="BB81" i="6" s="1"/>
  <c r="AB81" i="6"/>
  <c r="AA81" i="6" s="1"/>
  <c r="AW81" i="6" s="1"/>
  <c r="G81" i="6"/>
  <c r="DH80" i="6"/>
  <c r="DG80" i="6"/>
  <c r="DF80" i="6"/>
  <c r="DD80" i="6"/>
  <c r="DC80" i="6"/>
  <c r="DB80" i="6"/>
  <c r="DA80" i="6"/>
  <c r="CZ80" i="6"/>
  <c r="CY80" i="6"/>
  <c r="CX80" i="6"/>
  <c r="CW80" i="6"/>
  <c r="CV80" i="6"/>
  <c r="CU80" i="6"/>
  <c r="CT80" i="6"/>
  <c r="CS80" i="6"/>
  <c r="CR80" i="6"/>
  <c r="CQ80" i="6"/>
  <c r="CP80" i="6"/>
  <c r="BX80" i="6"/>
  <c r="BS80" i="6"/>
  <c r="DM80" i="6" s="1"/>
  <c r="BQ80" i="6"/>
  <c r="BP80" i="6"/>
  <c r="BM80" i="6"/>
  <c r="BL80" i="6"/>
  <c r="BK80" i="6"/>
  <c r="BJ80" i="6"/>
  <c r="BI80" i="6"/>
  <c r="BH80" i="6"/>
  <c r="BG80" i="6"/>
  <c r="BF80" i="6"/>
  <c r="BE80" i="6"/>
  <c r="BD80" i="6"/>
  <c r="BC80" i="6"/>
  <c r="BA80" i="6"/>
  <c r="AZ80" i="6"/>
  <c r="AY80" i="6"/>
  <c r="AG80" i="6"/>
  <c r="BB80" i="6" s="1"/>
  <c r="AB80" i="6"/>
  <c r="AA80" i="6" s="1"/>
  <c r="AW80" i="6" s="1"/>
  <c r="G80" i="6"/>
  <c r="DH79" i="6"/>
  <c r="DD79" i="6"/>
  <c r="DC79" i="6"/>
  <c r="DB79" i="6"/>
  <c r="DA79" i="6"/>
  <c r="CZ79" i="6"/>
  <c r="CY79" i="6"/>
  <c r="CR79" i="6"/>
  <c r="CQ79" i="6"/>
  <c r="CP79" i="6"/>
  <c r="BX79" i="6"/>
  <c r="BQ79" i="6"/>
  <c r="BP79" i="6"/>
  <c r="BM79" i="6"/>
  <c r="BL79" i="6"/>
  <c r="BK79" i="6"/>
  <c r="BJ79" i="6"/>
  <c r="BI79" i="6"/>
  <c r="BH79" i="6"/>
  <c r="BA79" i="6"/>
  <c r="AZ79" i="6"/>
  <c r="AY79" i="6"/>
  <c r="AG79" i="6"/>
  <c r="AB79" i="6" s="1"/>
  <c r="AA79" i="6" s="1"/>
  <c r="AW79" i="6" s="1"/>
  <c r="G79" i="6"/>
  <c r="DH78" i="6"/>
  <c r="DD78" i="6"/>
  <c r="DC78" i="6"/>
  <c r="DB78" i="6"/>
  <c r="DA78" i="6"/>
  <c r="CZ78" i="6"/>
  <c r="CY78" i="6"/>
  <c r="CR78" i="6"/>
  <c r="CQ78" i="6"/>
  <c r="CP78" i="6"/>
  <c r="BX78" i="6"/>
  <c r="CS78" i="6" s="1"/>
  <c r="BS78" i="6"/>
  <c r="BQ78" i="6"/>
  <c r="BP78" i="6"/>
  <c r="BM78" i="6"/>
  <c r="BL78" i="6"/>
  <c r="BK78" i="6"/>
  <c r="BJ78" i="6"/>
  <c r="BI78" i="6"/>
  <c r="BH78" i="6"/>
  <c r="BA78" i="6"/>
  <c r="AZ78" i="6"/>
  <c r="AY78" i="6"/>
  <c r="AG78" i="6"/>
  <c r="AB78" i="6" s="1"/>
  <c r="K78" i="6"/>
  <c r="BB78" i="6" s="1"/>
  <c r="G78" i="6"/>
  <c r="DH77" i="6"/>
  <c r="DD77" i="6"/>
  <c r="DC77" i="6"/>
  <c r="DB77" i="6"/>
  <c r="DA77" i="6"/>
  <c r="CZ77" i="6"/>
  <c r="CY77" i="6"/>
  <c r="CR77" i="6"/>
  <c r="CQ77" i="6"/>
  <c r="CP77" i="6"/>
  <c r="BS77" i="6"/>
  <c r="BQ77" i="6"/>
  <c r="BP77" i="6"/>
  <c r="BM77" i="6"/>
  <c r="BL77" i="6"/>
  <c r="BJ77" i="6"/>
  <c r="BI77" i="6"/>
  <c r="BH77" i="6"/>
  <c r="BA77" i="6"/>
  <c r="AZ77" i="6"/>
  <c r="AY77" i="6"/>
  <c r="AB77" i="6"/>
  <c r="K77" i="6"/>
  <c r="BB77" i="6" s="1"/>
  <c r="G77" i="6"/>
  <c r="DH76" i="6"/>
  <c r="DD76" i="6"/>
  <c r="DC76" i="6"/>
  <c r="DB76" i="6"/>
  <c r="DA76" i="6"/>
  <c r="CZ76" i="6"/>
  <c r="CY76" i="6"/>
  <c r="CR76" i="6"/>
  <c r="CQ76" i="6"/>
  <c r="CP76" i="6"/>
  <c r="BS76" i="6"/>
  <c r="BQ76" i="6"/>
  <c r="BP76" i="6"/>
  <c r="BM76" i="6"/>
  <c r="BL76" i="6"/>
  <c r="BJ76" i="6"/>
  <c r="BI76" i="6"/>
  <c r="BH76" i="6"/>
  <c r="BA76" i="6"/>
  <c r="AZ76" i="6"/>
  <c r="AY76" i="6"/>
  <c r="AB76" i="6"/>
  <c r="K76" i="6"/>
  <c r="BB76" i="6" s="1"/>
  <c r="G76" i="6"/>
  <c r="DG75" i="6"/>
  <c r="DF75" i="6"/>
  <c r="DD75" i="6"/>
  <c r="DC75" i="6"/>
  <c r="DB75" i="6"/>
  <c r="DA75" i="6"/>
  <c r="CZ75" i="6"/>
  <c r="CY75" i="6"/>
  <c r="CX75" i="6"/>
  <c r="CW75" i="6"/>
  <c r="CV75" i="6"/>
  <c r="CU75" i="6"/>
  <c r="CT75" i="6"/>
  <c r="CS75" i="6"/>
  <c r="CR75" i="6"/>
  <c r="CQ75" i="6"/>
  <c r="CP75" i="6"/>
  <c r="CM75" i="6"/>
  <c r="BP75" i="6"/>
  <c r="BM75" i="6"/>
  <c r="BL75" i="6"/>
  <c r="BK75" i="6"/>
  <c r="BJ75" i="6"/>
  <c r="BI75" i="6"/>
  <c r="BH75" i="6"/>
  <c r="BG75" i="6"/>
  <c r="BF75" i="6"/>
  <c r="BE75" i="6"/>
  <c r="BD75" i="6"/>
  <c r="BC75" i="6"/>
  <c r="BB75" i="6"/>
  <c r="BA75" i="6"/>
  <c r="AZ75" i="6"/>
  <c r="AY75" i="6"/>
  <c r="AV75" i="6"/>
  <c r="AB75" i="6" s="1"/>
  <c r="Z75" i="6"/>
  <c r="G75" i="6"/>
  <c r="DH74" i="6"/>
  <c r="DG74" i="6"/>
  <c r="DF74" i="6"/>
  <c r="DD74" i="6"/>
  <c r="DC74" i="6"/>
  <c r="DB74" i="6"/>
  <c r="DA74" i="6"/>
  <c r="CZ74" i="6"/>
  <c r="CY74" i="6"/>
  <c r="CX74" i="6"/>
  <c r="CW74" i="6"/>
  <c r="CV74" i="6"/>
  <c r="CU74" i="6"/>
  <c r="CT74" i="6"/>
  <c r="CR74" i="6"/>
  <c r="CQ74" i="6"/>
  <c r="CP74" i="6"/>
  <c r="BX74" i="6"/>
  <c r="BS74" i="6" s="1"/>
  <c r="BQ74" i="6"/>
  <c r="BP74" i="6"/>
  <c r="BM74" i="6"/>
  <c r="BL74" i="6"/>
  <c r="BK74" i="6"/>
  <c r="BJ74" i="6"/>
  <c r="BI74" i="6"/>
  <c r="BH74" i="6"/>
  <c r="BG74" i="6"/>
  <c r="BF74" i="6"/>
  <c r="BE74" i="6"/>
  <c r="BD74" i="6"/>
  <c r="BC74" i="6"/>
  <c r="BA74" i="6"/>
  <c r="AZ74" i="6"/>
  <c r="AY74" i="6"/>
  <c r="AG74" i="6"/>
  <c r="AB74" i="6"/>
  <c r="K74" i="6"/>
  <c r="DH73" i="6"/>
  <c r="DG73" i="6"/>
  <c r="DF73" i="6"/>
  <c r="DD73" i="6"/>
  <c r="DC73" i="6"/>
  <c r="DB73" i="6"/>
  <c r="DA73" i="6"/>
  <c r="CZ73" i="6"/>
  <c r="CY73" i="6"/>
  <c r="CX73" i="6"/>
  <c r="CW73" i="6"/>
  <c r="CV73" i="6"/>
  <c r="CU73" i="6"/>
  <c r="CT73" i="6"/>
  <c r="CR73" i="6"/>
  <c r="CQ73" i="6"/>
  <c r="CP73" i="6"/>
  <c r="BS73" i="6"/>
  <c r="BQ73" i="6"/>
  <c r="BP73" i="6"/>
  <c r="BM73" i="6"/>
  <c r="BL73" i="6"/>
  <c r="BK73" i="6"/>
  <c r="BJ73" i="6"/>
  <c r="BI73" i="6"/>
  <c r="BH73" i="6"/>
  <c r="BG73" i="6"/>
  <c r="BF73" i="6"/>
  <c r="BE73" i="6"/>
  <c r="BD73" i="6"/>
  <c r="BC73" i="6"/>
  <c r="BA73" i="6"/>
  <c r="AZ73" i="6"/>
  <c r="AY73" i="6"/>
  <c r="AG73" i="6"/>
  <c r="AB73" i="6"/>
  <c r="K73" i="6"/>
  <c r="G73" i="6"/>
  <c r="DH72" i="6"/>
  <c r="DG72" i="6"/>
  <c r="DF72" i="6"/>
  <c r="DD72" i="6"/>
  <c r="DC72" i="6"/>
  <c r="DB72" i="6"/>
  <c r="DA72" i="6"/>
  <c r="CZ72" i="6"/>
  <c r="CY72" i="6"/>
  <c r="CX72" i="6"/>
  <c r="CW72" i="6"/>
  <c r="CV72" i="6"/>
  <c r="CU72" i="6"/>
  <c r="CT72" i="6"/>
  <c r="CR72" i="6"/>
  <c r="CQ72" i="6"/>
  <c r="CP72" i="6"/>
  <c r="BX72" i="6"/>
  <c r="BS72" i="6" s="1"/>
  <c r="BQ72" i="6"/>
  <c r="BP72" i="6"/>
  <c r="BO72" i="6"/>
  <c r="BM72" i="6"/>
  <c r="BL72" i="6"/>
  <c r="BK72" i="6"/>
  <c r="BJ72" i="6"/>
  <c r="BI72" i="6"/>
  <c r="BH72" i="6"/>
  <c r="BG72" i="6"/>
  <c r="BF72" i="6"/>
  <c r="BE72" i="6"/>
  <c r="BD72" i="6"/>
  <c r="BC72" i="6"/>
  <c r="BA72" i="6"/>
  <c r="AZ72" i="6"/>
  <c r="AY72" i="6"/>
  <c r="AG72" i="6"/>
  <c r="BB72" i="6" s="1"/>
  <c r="AB72" i="6"/>
  <c r="G72" i="6"/>
  <c r="DH71" i="6"/>
  <c r="DG71" i="6"/>
  <c r="DF71" i="6"/>
  <c r="DD71" i="6"/>
  <c r="DC71" i="6"/>
  <c r="DB71" i="6"/>
  <c r="DA71" i="6"/>
  <c r="CZ71" i="6"/>
  <c r="CY71" i="6"/>
  <c r="CX71" i="6"/>
  <c r="CW71" i="6"/>
  <c r="CV71" i="6"/>
  <c r="CU71" i="6"/>
  <c r="CT71" i="6"/>
  <c r="CR71" i="6"/>
  <c r="CQ71" i="6"/>
  <c r="CP71" i="6"/>
  <c r="BX71" i="6"/>
  <c r="CS71" i="6" s="1"/>
  <c r="BQ71" i="6"/>
  <c r="BP71" i="6"/>
  <c r="BO71" i="6"/>
  <c r="BM71" i="6"/>
  <c r="BL71" i="6"/>
  <c r="BK71" i="6"/>
  <c r="BJ71" i="6"/>
  <c r="BI71" i="6"/>
  <c r="BH71" i="6"/>
  <c r="BG71" i="6"/>
  <c r="BF71" i="6"/>
  <c r="BE71" i="6"/>
  <c r="BD71" i="6"/>
  <c r="BC71" i="6"/>
  <c r="BA71" i="6"/>
  <c r="AZ71" i="6"/>
  <c r="AY71" i="6"/>
  <c r="AG71" i="6"/>
  <c r="BB71" i="6" s="1"/>
  <c r="AB71" i="6"/>
  <c r="AA71" i="6" s="1"/>
  <c r="AW71" i="6" s="1"/>
  <c r="G71" i="6"/>
  <c r="DG70" i="6"/>
  <c r="DF70" i="6"/>
  <c r="DD70" i="6"/>
  <c r="DC70" i="6"/>
  <c r="DB70" i="6"/>
  <c r="DA70" i="6"/>
  <c r="CZ70" i="6"/>
  <c r="CY70" i="6"/>
  <c r="CX70" i="6"/>
  <c r="CW70" i="6"/>
  <c r="CV70" i="6"/>
  <c r="CU70" i="6"/>
  <c r="CT70" i="6"/>
  <c r="CS70" i="6"/>
  <c r="CR70" i="6"/>
  <c r="CQ70" i="6"/>
  <c r="CP70" i="6"/>
  <c r="CF70" i="6"/>
  <c r="CM70" i="6" s="1"/>
  <c r="BP70" i="6"/>
  <c r="BM70" i="6"/>
  <c r="BL70" i="6"/>
  <c r="BK70" i="6"/>
  <c r="BI70" i="6"/>
  <c r="BH70" i="6"/>
  <c r="BG70" i="6"/>
  <c r="BF70" i="6"/>
  <c r="BE70" i="6"/>
  <c r="BD70" i="6"/>
  <c r="BC70" i="6"/>
  <c r="BB70" i="6"/>
  <c r="BA70" i="6"/>
  <c r="AZ70" i="6"/>
  <c r="AY70" i="6"/>
  <c r="AV70" i="6"/>
  <c r="BQ70" i="6" s="1"/>
  <c r="AO70" i="6"/>
  <c r="BJ70" i="6" s="1"/>
  <c r="AB70" i="6"/>
  <c r="Z70" i="6"/>
  <c r="G70" i="6"/>
  <c r="DH69" i="6"/>
  <c r="DG69" i="6"/>
  <c r="DF69" i="6"/>
  <c r="DD69" i="6"/>
  <c r="DC69" i="6"/>
  <c r="DB69" i="6"/>
  <c r="DA69" i="6"/>
  <c r="CZ69" i="6"/>
  <c r="CY69" i="6"/>
  <c r="CX69" i="6"/>
  <c r="CW69" i="6"/>
  <c r="CV69" i="6"/>
  <c r="CU69" i="6"/>
  <c r="CT69" i="6"/>
  <c r="CS69" i="6"/>
  <c r="CR69" i="6"/>
  <c r="CQ69" i="6"/>
  <c r="CP69" i="6"/>
  <c r="BS69" i="6"/>
  <c r="BR69" i="6"/>
  <c r="CN69" i="6" s="1"/>
  <c r="BP69" i="6"/>
  <c r="BO69" i="6"/>
  <c r="BM69" i="6"/>
  <c r="BL69" i="6"/>
  <c r="BK69" i="6"/>
  <c r="BJ69" i="6"/>
  <c r="BI69" i="6"/>
  <c r="BH69" i="6"/>
  <c r="BG69" i="6"/>
  <c r="BF69" i="6"/>
  <c r="BE69" i="6"/>
  <c r="BD69" i="6"/>
  <c r="BC69" i="6"/>
  <c r="BB69" i="6"/>
  <c r="BA69" i="6"/>
  <c r="AZ69" i="6"/>
  <c r="AY69" i="6"/>
  <c r="AB69" i="6"/>
  <c r="Z69" i="6"/>
  <c r="BQ69" i="6" s="1"/>
  <c r="G69" i="6"/>
  <c r="DG68" i="6"/>
  <c r="DF68" i="6"/>
  <c r="DD68" i="6"/>
  <c r="DC68" i="6"/>
  <c r="DB68" i="6"/>
  <c r="DA68" i="6"/>
  <c r="CZ68" i="6"/>
  <c r="CY68" i="6"/>
  <c r="CX68" i="6"/>
  <c r="CW68" i="6"/>
  <c r="CV68" i="6"/>
  <c r="CU68" i="6"/>
  <c r="CT68" i="6"/>
  <c r="CS68" i="6"/>
  <c r="CR68" i="6"/>
  <c r="CQ68" i="6"/>
  <c r="CP68" i="6"/>
  <c r="CM68" i="6"/>
  <c r="DH68" i="6" s="1"/>
  <c r="BS68" i="6"/>
  <c r="BP68" i="6"/>
  <c r="BM68" i="6"/>
  <c r="BL68" i="6"/>
  <c r="BK68" i="6"/>
  <c r="BJ68" i="6"/>
  <c r="BI68" i="6"/>
  <c r="BH68" i="6"/>
  <c r="BG68" i="6"/>
  <c r="BF68" i="6"/>
  <c r="BE68" i="6"/>
  <c r="BD68" i="6"/>
  <c r="BC68" i="6"/>
  <c r="BB68" i="6"/>
  <c r="BA68" i="6"/>
  <c r="AZ68" i="6"/>
  <c r="AY68" i="6"/>
  <c r="AV68" i="6"/>
  <c r="BQ68" i="6" s="1"/>
  <c r="Z68" i="6"/>
  <c r="G68" i="6"/>
  <c r="DG67" i="6"/>
  <c r="DF67" i="6"/>
  <c r="DD67" i="6"/>
  <c r="DC67" i="6"/>
  <c r="DB67" i="6"/>
  <c r="DA67" i="6"/>
  <c r="CZ67" i="6"/>
  <c r="CY67" i="6"/>
  <c r="CX67" i="6"/>
  <c r="CW67" i="6"/>
  <c r="CV67" i="6"/>
  <c r="CU67" i="6"/>
  <c r="CT67" i="6"/>
  <c r="CS67" i="6"/>
  <c r="CR67" i="6"/>
  <c r="CQ67" i="6"/>
  <c r="CP67" i="6"/>
  <c r="CM67" i="6"/>
  <c r="BS67" i="6" s="1"/>
  <c r="BP67" i="6"/>
  <c r="BM67" i="6"/>
  <c r="BL67" i="6"/>
  <c r="BK67" i="6"/>
  <c r="BJ67" i="6"/>
  <c r="BI67" i="6"/>
  <c r="BH67" i="6"/>
  <c r="BG67" i="6"/>
  <c r="BF67" i="6"/>
  <c r="BE67" i="6"/>
  <c r="BD67" i="6"/>
  <c r="BC67" i="6"/>
  <c r="BB67" i="6"/>
  <c r="BA67" i="6"/>
  <c r="AZ67" i="6"/>
  <c r="AY67" i="6"/>
  <c r="AV67" i="6"/>
  <c r="Z67" i="6"/>
  <c r="G67" i="6" s="1"/>
  <c r="DH66" i="6"/>
  <c r="DG66" i="6"/>
  <c r="DF66" i="6"/>
  <c r="DD66" i="6"/>
  <c r="DC66" i="6"/>
  <c r="DB66" i="6"/>
  <c r="DA66" i="6"/>
  <c r="CY66" i="6"/>
  <c r="CX66" i="6"/>
  <c r="CW66" i="6"/>
  <c r="CV66" i="6"/>
  <c r="CU66" i="6"/>
  <c r="CT66" i="6"/>
  <c r="CR66" i="6"/>
  <c r="CQ66" i="6"/>
  <c r="CP66" i="6"/>
  <c r="BX66" i="6"/>
  <c r="BQ66" i="6"/>
  <c r="BP66" i="6"/>
  <c r="BM66" i="6"/>
  <c r="BL66" i="6"/>
  <c r="BK66" i="6"/>
  <c r="BJ66" i="6"/>
  <c r="BH66" i="6"/>
  <c r="BG66" i="6"/>
  <c r="BF66" i="6"/>
  <c r="BE66" i="6"/>
  <c r="BD66" i="6"/>
  <c r="BC66" i="6"/>
  <c r="BA66" i="6"/>
  <c r="AZ66" i="6"/>
  <c r="AY66" i="6"/>
  <c r="AN66" i="6"/>
  <c r="AN142" i="6" s="1"/>
  <c r="AG66" i="6"/>
  <c r="AB66" i="6" s="1"/>
  <c r="AA66" i="6" s="1"/>
  <c r="AW66" i="6" s="1"/>
  <c r="R66" i="6"/>
  <c r="R142" i="6" s="1"/>
  <c r="K66" i="6"/>
  <c r="G66" i="6"/>
  <c r="DH65" i="6"/>
  <c r="DG65" i="6"/>
  <c r="DF65" i="6"/>
  <c r="DD65" i="6"/>
  <c r="DC65" i="6"/>
  <c r="DB65" i="6"/>
  <c r="CZ65" i="6"/>
  <c r="CY65" i="6"/>
  <c r="CX65" i="6"/>
  <c r="CW65" i="6"/>
  <c r="CV65" i="6"/>
  <c r="CU65" i="6"/>
  <c r="CT65" i="6"/>
  <c r="CR65" i="6"/>
  <c r="CQ65" i="6"/>
  <c r="CP65" i="6"/>
  <c r="BX65" i="6"/>
  <c r="BQ65" i="6"/>
  <c r="BP65" i="6"/>
  <c r="BM65" i="6"/>
  <c r="BL65" i="6"/>
  <c r="BK65" i="6"/>
  <c r="BI65" i="6"/>
  <c r="BH65" i="6"/>
  <c r="BG65" i="6"/>
  <c r="BF65" i="6"/>
  <c r="BE65" i="6"/>
  <c r="BD65" i="6"/>
  <c r="BC65" i="6"/>
  <c r="BB65" i="6"/>
  <c r="BA65" i="6"/>
  <c r="AZ65" i="6"/>
  <c r="AY65" i="6"/>
  <c r="AO65" i="6"/>
  <c r="AB65" i="6" s="1"/>
  <c r="AG65" i="6"/>
  <c r="S65" i="6"/>
  <c r="K65" i="6"/>
  <c r="CS65" i="6" s="1"/>
  <c r="G65" i="6"/>
  <c r="DH64" i="6"/>
  <c r="DG64" i="6"/>
  <c r="DF64" i="6"/>
  <c r="DD64" i="6"/>
  <c r="DC64" i="6"/>
  <c r="DB64" i="6"/>
  <c r="CZ64" i="6"/>
  <c r="CY64" i="6"/>
  <c r="CX64" i="6"/>
  <c r="CW64" i="6"/>
  <c r="CV64" i="6"/>
  <c r="CU64" i="6"/>
  <c r="CT64" i="6"/>
  <c r="CS64" i="6"/>
  <c r="CR64" i="6"/>
  <c r="CQ64" i="6"/>
  <c r="CP64" i="6"/>
  <c r="CF64" i="6"/>
  <c r="BS64" i="6" s="1"/>
  <c r="BR64" i="6" s="1"/>
  <c r="CN64" i="6" s="1"/>
  <c r="BQ64" i="6"/>
  <c r="BP64" i="6"/>
  <c r="BO64" i="6"/>
  <c r="BM64" i="6"/>
  <c r="BL64" i="6"/>
  <c r="BK64" i="6"/>
  <c r="BJ64" i="6"/>
  <c r="BI64" i="6"/>
  <c r="BH64" i="6"/>
  <c r="BG64" i="6"/>
  <c r="BF64" i="6"/>
  <c r="BE64" i="6"/>
  <c r="BD64" i="6"/>
  <c r="BC64" i="6"/>
  <c r="BB64" i="6"/>
  <c r="BA64" i="6"/>
  <c r="AZ64" i="6"/>
  <c r="AY64" i="6"/>
  <c r="AO64" i="6"/>
  <c r="AB64" i="6"/>
  <c r="G64" i="6"/>
  <c r="DG63" i="6"/>
  <c r="DF63" i="6"/>
  <c r="DD63" i="6"/>
  <c r="DC63" i="6"/>
  <c r="DB63" i="6"/>
  <c r="DA63" i="6"/>
  <c r="CZ63" i="6"/>
  <c r="CY63" i="6"/>
  <c r="CX63" i="6"/>
  <c r="CW63" i="6"/>
  <c r="CV63" i="6"/>
  <c r="CU63" i="6"/>
  <c r="CT63" i="6"/>
  <c r="CS63" i="6"/>
  <c r="CR63" i="6"/>
  <c r="CQ63" i="6"/>
  <c r="CP63" i="6"/>
  <c r="CM63" i="6"/>
  <c r="DH63" i="6" s="1"/>
  <c r="BS63" i="6"/>
  <c r="BR63" i="6" s="1"/>
  <c r="CN63" i="6" s="1"/>
  <c r="BP63" i="6"/>
  <c r="BM63" i="6"/>
  <c r="BL63" i="6"/>
  <c r="BK63" i="6"/>
  <c r="BJ63" i="6"/>
  <c r="BI63" i="6"/>
  <c r="BH63" i="6"/>
  <c r="BG63" i="6"/>
  <c r="BF63" i="6"/>
  <c r="BE63" i="6"/>
  <c r="BD63" i="6"/>
  <c r="BC63" i="6"/>
  <c r="BB63" i="6"/>
  <c r="BA63" i="6"/>
  <c r="AZ63" i="6"/>
  <c r="AY63" i="6"/>
  <c r="AV63" i="6"/>
  <c r="G63" i="6"/>
  <c r="DG62" i="6"/>
  <c r="DF62" i="6"/>
  <c r="DD62" i="6"/>
  <c r="DC62" i="6"/>
  <c r="DB62" i="6"/>
  <c r="DA62" i="6"/>
  <c r="CZ62" i="6"/>
  <c r="CY62" i="6"/>
  <c r="CX62" i="6"/>
  <c r="CW62" i="6"/>
  <c r="CV62" i="6"/>
  <c r="CU62" i="6"/>
  <c r="CT62" i="6"/>
  <c r="CS62" i="6"/>
  <c r="CR62" i="6"/>
  <c r="CQ62" i="6"/>
  <c r="CP62" i="6"/>
  <c r="CM62" i="6"/>
  <c r="BS62" i="6" s="1"/>
  <c r="BR62" i="6" s="1"/>
  <c r="CN62" i="6" s="1"/>
  <c r="BP62" i="6"/>
  <c r="BM62" i="6"/>
  <c r="BL62" i="6"/>
  <c r="BK62" i="6"/>
  <c r="BJ62" i="6"/>
  <c r="BI62" i="6"/>
  <c r="BH62" i="6"/>
  <c r="BG62" i="6"/>
  <c r="BF62" i="6"/>
  <c r="BE62" i="6"/>
  <c r="BD62" i="6"/>
  <c r="BC62" i="6"/>
  <c r="BB62" i="6"/>
  <c r="BA62" i="6"/>
  <c r="AZ62" i="6"/>
  <c r="AY62" i="6"/>
  <c r="AV62" i="6"/>
  <c r="BQ62" i="6" s="1"/>
  <c r="Z62" i="6"/>
  <c r="G62" i="6"/>
  <c r="DG61" i="6"/>
  <c r="DF61" i="6"/>
  <c r="DD61" i="6"/>
  <c r="DC61" i="6"/>
  <c r="DB61" i="6"/>
  <c r="DA61" i="6"/>
  <c r="CZ61" i="6"/>
  <c r="CY61" i="6"/>
  <c r="CX61" i="6"/>
  <c r="CW61" i="6"/>
  <c r="CV61" i="6"/>
  <c r="CU61" i="6"/>
  <c r="CS61" i="6"/>
  <c r="CR61" i="6"/>
  <c r="CQ61" i="6"/>
  <c r="CP61" i="6"/>
  <c r="CM61" i="6"/>
  <c r="CM93" i="6" s="1"/>
  <c r="BY61" i="6"/>
  <c r="BP61" i="6"/>
  <c r="BM61" i="6"/>
  <c r="BL61" i="6"/>
  <c r="BK61" i="6"/>
  <c r="BJ61" i="6"/>
  <c r="BI61" i="6"/>
  <c r="BH61" i="6"/>
  <c r="BG61" i="6"/>
  <c r="BF61" i="6"/>
  <c r="BE61" i="6"/>
  <c r="BD61" i="6"/>
  <c r="BC61" i="6"/>
  <c r="BB61" i="6"/>
  <c r="BA61" i="6"/>
  <c r="AZ61" i="6"/>
  <c r="AY61" i="6"/>
  <c r="AV61" i="6"/>
  <c r="AH61" i="6"/>
  <c r="AB61" i="6"/>
  <c r="Z61" i="6"/>
  <c r="L61" i="6"/>
  <c r="CK60" i="6"/>
  <c r="CI60" i="6"/>
  <c r="CG60" i="6"/>
  <c r="CD60" i="6"/>
  <c r="CC60" i="6"/>
  <c r="CB60" i="6"/>
  <c r="CA60" i="6"/>
  <c r="BZ60" i="6"/>
  <c r="BX60" i="6"/>
  <c r="BW60" i="6"/>
  <c r="BU60" i="6"/>
  <c r="BT60" i="6"/>
  <c r="AT60" i="6"/>
  <c r="AR60" i="6"/>
  <c r="AP60" i="6"/>
  <c r="AM60" i="6"/>
  <c r="AL60" i="6"/>
  <c r="AK60" i="6"/>
  <c r="AJ60" i="6"/>
  <c r="AI60" i="6"/>
  <c r="AG60" i="6"/>
  <c r="AF60" i="6"/>
  <c r="AD60" i="6"/>
  <c r="X60" i="6"/>
  <c r="V60" i="6"/>
  <c r="T60" i="6"/>
  <c r="S60" i="6"/>
  <c r="R60" i="6"/>
  <c r="Q60" i="6"/>
  <c r="P60" i="6"/>
  <c r="O60" i="6"/>
  <c r="N60" i="6"/>
  <c r="M60" i="6"/>
  <c r="K60" i="6"/>
  <c r="J60" i="6"/>
  <c r="H60" i="6"/>
  <c r="DG59" i="6"/>
  <c r="DF59" i="6"/>
  <c r="DD59" i="6"/>
  <c r="DC59" i="6"/>
  <c r="DB59" i="6"/>
  <c r="DA59" i="6"/>
  <c r="CZ59" i="6"/>
  <c r="CY59" i="6"/>
  <c r="CX59" i="6"/>
  <c r="CW59" i="6"/>
  <c r="CV59" i="6"/>
  <c r="CU59" i="6"/>
  <c r="CT59" i="6"/>
  <c r="CS59" i="6"/>
  <c r="CR59" i="6"/>
  <c r="CQ59" i="6"/>
  <c r="CP59" i="6"/>
  <c r="CM59" i="6"/>
  <c r="BS59" i="6" s="1"/>
  <c r="DM59" i="6" s="1"/>
  <c r="BP59" i="6"/>
  <c r="BM59" i="6"/>
  <c r="BL59" i="6"/>
  <c r="BK59" i="6"/>
  <c r="BJ59" i="6"/>
  <c r="BI59" i="6"/>
  <c r="BH59" i="6"/>
  <c r="BG59" i="6"/>
  <c r="BF59" i="6"/>
  <c r="BE59" i="6"/>
  <c r="BD59" i="6"/>
  <c r="BC59" i="6"/>
  <c r="BB59" i="6"/>
  <c r="BA59" i="6"/>
  <c r="AZ59" i="6"/>
  <c r="AY59" i="6"/>
  <c r="AV59" i="6"/>
  <c r="AB59" i="6" s="1"/>
  <c r="Z59" i="6"/>
  <c r="G59" i="6"/>
  <c r="AA59" i="6" s="1"/>
  <c r="AW59" i="6" s="1"/>
  <c r="DH58" i="6"/>
  <c r="DG58" i="6"/>
  <c r="DF58" i="6"/>
  <c r="DD58" i="6"/>
  <c r="DB58" i="6"/>
  <c r="DA58" i="6"/>
  <c r="CZ58" i="6"/>
  <c r="CY58" i="6"/>
  <c r="CX58" i="6"/>
  <c r="CW58" i="6"/>
  <c r="CV58" i="6"/>
  <c r="CU58" i="6"/>
  <c r="CS58" i="6"/>
  <c r="CR58" i="6"/>
  <c r="CP58" i="6"/>
  <c r="BY58" i="6"/>
  <c r="BV58" i="6"/>
  <c r="BQ58" i="6"/>
  <c r="BP58" i="6"/>
  <c r="BM58" i="6"/>
  <c r="BK58" i="6"/>
  <c r="BJ58" i="6"/>
  <c r="BI58" i="6"/>
  <c r="BH58" i="6"/>
  <c r="BG58" i="6"/>
  <c r="BF58" i="6"/>
  <c r="BE58" i="6"/>
  <c r="BD58" i="6"/>
  <c r="BB58" i="6"/>
  <c r="BA58" i="6"/>
  <c r="AY58" i="6"/>
  <c r="AQ58" i="6"/>
  <c r="BL58" i="6" s="1"/>
  <c r="AH58" i="6"/>
  <c r="AE58" i="6"/>
  <c r="AZ58" i="6" s="1"/>
  <c r="L58" i="6"/>
  <c r="L60" i="6" s="1"/>
  <c r="DH57" i="6"/>
  <c r="DG57" i="6"/>
  <c r="DF57" i="6"/>
  <c r="DD57" i="6"/>
  <c r="DC57" i="6"/>
  <c r="DB57" i="6"/>
  <c r="DA57" i="6"/>
  <c r="CZ57" i="6"/>
  <c r="CY57" i="6"/>
  <c r="CX57" i="6"/>
  <c r="CW57" i="6"/>
  <c r="CV57" i="6"/>
  <c r="CU57" i="6"/>
  <c r="CT57" i="6"/>
  <c r="CS57" i="6"/>
  <c r="CR57" i="6"/>
  <c r="CQ57" i="6"/>
  <c r="CP57" i="6"/>
  <c r="BS57" i="6"/>
  <c r="BQ57" i="6"/>
  <c r="BP57" i="6"/>
  <c r="BM57" i="6"/>
  <c r="BK57" i="6"/>
  <c r="BJ57" i="6"/>
  <c r="BI57" i="6"/>
  <c r="BH57" i="6"/>
  <c r="BG57" i="6"/>
  <c r="BF57" i="6"/>
  <c r="BE57" i="6"/>
  <c r="BD57" i="6"/>
  <c r="BC57" i="6"/>
  <c r="BB57" i="6"/>
  <c r="BA57" i="6"/>
  <c r="AZ57" i="6"/>
  <c r="AY57" i="6"/>
  <c r="AQ57" i="6"/>
  <c r="BL57" i="6" s="1"/>
  <c r="G57" i="6"/>
  <c r="DH56" i="6"/>
  <c r="DG56" i="6"/>
  <c r="DF56" i="6"/>
  <c r="DD56" i="6"/>
  <c r="DB56" i="6"/>
  <c r="DA56" i="6"/>
  <c r="CZ56" i="6"/>
  <c r="CY56" i="6"/>
  <c r="CX56" i="6"/>
  <c r="CW56" i="6"/>
  <c r="CV56" i="6"/>
  <c r="CU56" i="6"/>
  <c r="CT56" i="6"/>
  <c r="CS56" i="6"/>
  <c r="CR56" i="6"/>
  <c r="CP56" i="6"/>
  <c r="CH56" i="6"/>
  <c r="DC56" i="6" s="1"/>
  <c r="BV56" i="6"/>
  <c r="BQ56" i="6"/>
  <c r="BP56" i="6"/>
  <c r="BM56" i="6"/>
  <c r="BL56" i="6"/>
  <c r="BK56" i="6"/>
  <c r="BJ56" i="6"/>
  <c r="BI56" i="6"/>
  <c r="BH56" i="6"/>
  <c r="BG56" i="6"/>
  <c r="BF56" i="6"/>
  <c r="BE56" i="6"/>
  <c r="BD56" i="6"/>
  <c r="BC56" i="6"/>
  <c r="BB56" i="6"/>
  <c r="BA56" i="6"/>
  <c r="AY56" i="6"/>
  <c r="AE56" i="6"/>
  <c r="AB56" i="6" s="1"/>
  <c r="I56" i="6"/>
  <c r="DH55" i="6"/>
  <c r="DG55" i="6"/>
  <c r="DF55" i="6"/>
  <c r="DD55" i="6"/>
  <c r="DB55" i="6"/>
  <c r="DA55" i="6"/>
  <c r="CZ55" i="6"/>
  <c r="CY55" i="6"/>
  <c r="CX55" i="6"/>
  <c r="CW55" i="6"/>
  <c r="CV55" i="6"/>
  <c r="CU55" i="6"/>
  <c r="CT55" i="6"/>
  <c r="CS55" i="6"/>
  <c r="CR55" i="6"/>
  <c r="CQ55" i="6"/>
  <c r="CP55" i="6"/>
  <c r="CH55" i="6"/>
  <c r="DC55" i="6" s="1"/>
  <c r="BQ55" i="6"/>
  <c r="BP55" i="6"/>
  <c r="BM55" i="6"/>
  <c r="BL55" i="6"/>
  <c r="BK55" i="6"/>
  <c r="BJ55" i="6"/>
  <c r="BI55" i="6"/>
  <c r="BH55" i="6"/>
  <c r="BG55" i="6"/>
  <c r="BF55" i="6"/>
  <c r="BE55" i="6"/>
  <c r="BD55" i="6"/>
  <c r="BC55" i="6"/>
  <c r="BB55" i="6"/>
  <c r="BA55" i="6"/>
  <c r="AZ55" i="6"/>
  <c r="AY55" i="6"/>
  <c r="AB55" i="6"/>
  <c r="G55" i="6"/>
  <c r="DG54" i="6"/>
  <c r="DF54" i="6"/>
  <c r="DD54" i="6"/>
  <c r="DC54" i="6"/>
  <c r="DB54" i="6"/>
  <c r="DA54" i="6"/>
  <c r="CZ54" i="6"/>
  <c r="CY54" i="6"/>
  <c r="CX54" i="6"/>
  <c r="CW54" i="6"/>
  <c r="CV54" i="6"/>
  <c r="CU54" i="6"/>
  <c r="CT54" i="6"/>
  <c r="CS54" i="6"/>
  <c r="CR54" i="6"/>
  <c r="CP54" i="6"/>
  <c r="CM54" i="6"/>
  <c r="BV54" i="6"/>
  <c r="CQ54" i="6" s="1"/>
  <c r="BQ54" i="6"/>
  <c r="AX54" i="6" s="1"/>
  <c r="BP54" i="6"/>
  <c r="BM54" i="6"/>
  <c r="BL54" i="6"/>
  <c r="BK54" i="6"/>
  <c r="BJ54" i="6"/>
  <c r="BI54" i="6"/>
  <c r="BH54" i="6"/>
  <c r="BG54" i="6"/>
  <c r="BF54" i="6"/>
  <c r="BE54" i="6"/>
  <c r="BD54" i="6"/>
  <c r="BC54" i="6"/>
  <c r="BB54" i="6"/>
  <c r="BA54" i="6"/>
  <c r="AZ54" i="6"/>
  <c r="AY54" i="6"/>
  <c r="AV54" i="6"/>
  <c r="AB54" i="6"/>
  <c r="Z54" i="6"/>
  <c r="G54" i="6" s="1"/>
  <c r="DG53" i="6"/>
  <c r="DF53" i="6"/>
  <c r="DD53" i="6"/>
  <c r="DC53" i="6"/>
  <c r="DB53" i="6"/>
  <c r="DA53" i="6"/>
  <c r="CZ53" i="6"/>
  <c r="CY53" i="6"/>
  <c r="CX53" i="6"/>
  <c r="CW53" i="6"/>
  <c r="CV53" i="6"/>
  <c r="CU53" i="6"/>
  <c r="CT53" i="6"/>
  <c r="CS53" i="6"/>
  <c r="CR53" i="6"/>
  <c r="CQ53" i="6"/>
  <c r="CP53" i="6"/>
  <c r="CM53" i="6"/>
  <c r="BS53" i="6"/>
  <c r="BR53" i="6"/>
  <c r="CN53" i="6" s="1"/>
  <c r="BP53" i="6"/>
  <c r="BM53" i="6"/>
  <c r="BL53" i="6"/>
  <c r="BJ53" i="6"/>
  <c r="BI53" i="6"/>
  <c r="BH53" i="6"/>
  <c r="BG53" i="6"/>
  <c r="BF53" i="6"/>
  <c r="BE53" i="6"/>
  <c r="BD53" i="6"/>
  <c r="BC53" i="6"/>
  <c r="BB53" i="6"/>
  <c r="BA53" i="6"/>
  <c r="AZ53" i="6"/>
  <c r="AY53" i="6"/>
  <c r="AV53" i="6"/>
  <c r="AB53" i="6"/>
  <c r="Z53" i="6"/>
  <c r="G53" i="6"/>
  <c r="DH52" i="6"/>
  <c r="DG52" i="6"/>
  <c r="DF52" i="6"/>
  <c r="DD52" i="6"/>
  <c r="DB52" i="6"/>
  <c r="DA52" i="6"/>
  <c r="CZ52" i="6"/>
  <c r="CY52" i="6"/>
  <c r="CX52" i="6"/>
  <c r="CW52" i="6"/>
  <c r="CV52" i="6"/>
  <c r="CU52" i="6"/>
  <c r="CT52" i="6"/>
  <c r="CS52" i="6"/>
  <c r="CR52" i="6"/>
  <c r="CP52" i="6"/>
  <c r="CH52" i="6"/>
  <c r="BV52" i="6"/>
  <c r="BS52" i="6"/>
  <c r="BQ52" i="6"/>
  <c r="BP52" i="6"/>
  <c r="BM52" i="6"/>
  <c r="BK52" i="6"/>
  <c r="BJ52" i="6"/>
  <c r="BI52" i="6"/>
  <c r="BH52" i="6"/>
  <c r="BG52" i="6"/>
  <c r="BF52" i="6"/>
  <c r="BE52" i="6"/>
  <c r="BD52" i="6"/>
  <c r="BC52" i="6"/>
  <c r="BB52" i="6"/>
  <c r="BA52" i="6"/>
  <c r="AY52" i="6"/>
  <c r="AQ52" i="6"/>
  <c r="AE52" i="6"/>
  <c r="U52" i="6"/>
  <c r="I52" i="6"/>
  <c r="DH51" i="6"/>
  <c r="DG51" i="6"/>
  <c r="DF51" i="6"/>
  <c r="DD51" i="6"/>
  <c r="DC51" i="6"/>
  <c r="DB51" i="6"/>
  <c r="DA51" i="6"/>
  <c r="CZ51" i="6"/>
  <c r="CY51" i="6"/>
  <c r="CX51" i="6"/>
  <c r="CW51" i="6"/>
  <c r="CV51" i="6"/>
  <c r="CU51" i="6"/>
  <c r="CT51" i="6"/>
  <c r="CS51" i="6"/>
  <c r="CR51" i="6"/>
  <c r="CP51" i="6"/>
  <c r="BV51" i="6"/>
  <c r="BS51" i="6" s="1"/>
  <c r="DM51" i="6" s="1"/>
  <c r="BQ51" i="6"/>
  <c r="BP51" i="6"/>
  <c r="BM51" i="6"/>
  <c r="BL51" i="6"/>
  <c r="BJ51" i="6"/>
  <c r="BI51" i="6"/>
  <c r="BH51" i="6"/>
  <c r="BG51" i="6"/>
  <c r="BF51" i="6"/>
  <c r="BE51" i="6"/>
  <c r="BD51" i="6"/>
  <c r="BC51" i="6"/>
  <c r="BB51" i="6"/>
  <c r="BA51" i="6"/>
  <c r="AY51" i="6"/>
  <c r="AE51" i="6"/>
  <c r="AZ51" i="6" s="1"/>
  <c r="G51" i="6"/>
  <c r="BR51" i="6" s="1"/>
  <c r="CN51" i="6" s="1"/>
  <c r="DH50" i="6"/>
  <c r="DF50" i="6"/>
  <c r="DD50" i="6"/>
  <c r="DC50" i="6"/>
  <c r="DB50" i="6"/>
  <c r="DA50" i="6"/>
  <c r="CZ50" i="6"/>
  <c r="CY50" i="6"/>
  <c r="CX50" i="6"/>
  <c r="CW50" i="6"/>
  <c r="CV50" i="6"/>
  <c r="CU50" i="6"/>
  <c r="CT50" i="6"/>
  <c r="CS50" i="6"/>
  <c r="CR50" i="6"/>
  <c r="CQ50" i="6"/>
  <c r="CP50" i="6"/>
  <c r="CL50" i="6"/>
  <c r="DG50" i="6" s="1"/>
  <c r="BV50" i="6"/>
  <c r="BQ50" i="6"/>
  <c r="BM50" i="6"/>
  <c r="BL50" i="6"/>
  <c r="BK50" i="6"/>
  <c r="BJ50" i="6"/>
  <c r="BI50" i="6"/>
  <c r="BH50" i="6"/>
  <c r="BG50" i="6"/>
  <c r="BF50" i="6"/>
  <c r="BE50" i="6"/>
  <c r="BD50" i="6"/>
  <c r="BC50" i="6"/>
  <c r="BB50" i="6"/>
  <c r="BA50" i="6"/>
  <c r="AY50" i="6"/>
  <c r="AU50" i="6"/>
  <c r="AE50" i="6"/>
  <c r="G50" i="6"/>
  <c r="DH49" i="6"/>
  <c r="DG49" i="6"/>
  <c r="DF49" i="6"/>
  <c r="DD49" i="6"/>
  <c r="DC49" i="6"/>
  <c r="DB49" i="6"/>
  <c r="DA49" i="6"/>
  <c r="CZ49" i="6"/>
  <c r="CY49" i="6"/>
  <c r="CX49" i="6"/>
  <c r="CW49" i="6"/>
  <c r="CV49" i="6"/>
  <c r="CU49" i="6"/>
  <c r="CT49" i="6"/>
  <c r="CS49" i="6"/>
  <c r="CR49" i="6"/>
  <c r="CQ49" i="6"/>
  <c r="CP49" i="6"/>
  <c r="CH49" i="6"/>
  <c r="BS49" i="6"/>
  <c r="DM49" i="6" s="1"/>
  <c r="BP49" i="6"/>
  <c r="BM49" i="6"/>
  <c r="BJ49" i="6"/>
  <c r="BI49" i="6"/>
  <c r="BH49" i="6"/>
  <c r="BG49" i="6"/>
  <c r="BF49" i="6"/>
  <c r="BE49" i="6"/>
  <c r="BD49" i="6"/>
  <c r="BC49" i="6"/>
  <c r="BB49" i="6"/>
  <c r="BA49" i="6"/>
  <c r="AZ49" i="6"/>
  <c r="AY49" i="6"/>
  <c r="AQ49" i="6"/>
  <c r="Z49" i="6"/>
  <c r="BQ49" i="6" s="1"/>
  <c r="DH48" i="6"/>
  <c r="DG48" i="6"/>
  <c r="DF48" i="6"/>
  <c r="DD48" i="6"/>
  <c r="DB48" i="6"/>
  <c r="DA48" i="6"/>
  <c r="CZ48" i="6"/>
  <c r="CY48" i="6"/>
  <c r="CX48" i="6"/>
  <c r="CW48" i="6"/>
  <c r="CV48" i="6"/>
  <c r="CU48" i="6"/>
  <c r="CT48" i="6"/>
  <c r="CS48" i="6"/>
  <c r="CR48" i="6"/>
  <c r="CQ48" i="6"/>
  <c r="CP48" i="6"/>
  <c r="CH48" i="6"/>
  <c r="DC48" i="6" s="1"/>
  <c r="BS48" i="6"/>
  <c r="BQ48" i="6"/>
  <c r="BP48" i="6"/>
  <c r="BM48" i="6"/>
  <c r="BJ48" i="6"/>
  <c r="BI48" i="6"/>
  <c r="BH48" i="6"/>
  <c r="BG48" i="6"/>
  <c r="BF48" i="6"/>
  <c r="BE48" i="6"/>
  <c r="BD48" i="6"/>
  <c r="BC48" i="6"/>
  <c r="BB48" i="6"/>
  <c r="BA48" i="6"/>
  <c r="AZ48" i="6"/>
  <c r="AY48" i="6"/>
  <c r="AQ48" i="6"/>
  <c r="AB48" i="6" s="1"/>
  <c r="AA48" i="6" s="1"/>
  <c r="AW48" i="6" s="1"/>
  <c r="G48" i="6"/>
  <c r="DH47" i="6"/>
  <c r="DG47" i="6"/>
  <c r="DF47" i="6"/>
  <c r="DD47" i="6"/>
  <c r="DB47" i="6"/>
  <c r="DA47" i="6"/>
  <c r="CZ47" i="6"/>
  <c r="CY47" i="6"/>
  <c r="CX47" i="6"/>
  <c r="CW47" i="6"/>
  <c r="CV47" i="6"/>
  <c r="CU47" i="6"/>
  <c r="CT47" i="6"/>
  <c r="CS47" i="6"/>
  <c r="CR47" i="6"/>
  <c r="CQ47" i="6"/>
  <c r="CP47" i="6"/>
  <c r="CH47" i="6"/>
  <c r="DC47" i="6" s="1"/>
  <c r="BS47" i="6"/>
  <c r="DM47" i="6" s="1"/>
  <c r="BQ47" i="6"/>
  <c r="BP47" i="6"/>
  <c r="BM47" i="6"/>
  <c r="BK47" i="6"/>
  <c r="BJ47" i="6"/>
  <c r="BI47" i="6"/>
  <c r="BH47" i="6"/>
  <c r="BG47" i="6"/>
  <c r="BF47" i="6"/>
  <c r="BE47" i="6"/>
  <c r="BD47" i="6"/>
  <c r="BC47" i="6"/>
  <c r="BB47" i="6"/>
  <c r="BA47" i="6"/>
  <c r="AZ47" i="6"/>
  <c r="AY47" i="6"/>
  <c r="AQ47" i="6"/>
  <c r="BL47" i="6" s="1"/>
  <c r="AB47" i="6"/>
  <c r="G47" i="6"/>
  <c r="DH46" i="6"/>
  <c r="DG46" i="6"/>
  <c r="DF46" i="6"/>
  <c r="DD46" i="6"/>
  <c r="DB46" i="6"/>
  <c r="DA46" i="6"/>
  <c r="CZ46" i="6"/>
  <c r="CY46" i="6"/>
  <c r="CX46" i="6"/>
  <c r="CW46" i="6"/>
  <c r="CV46" i="6"/>
  <c r="CU46" i="6"/>
  <c r="CT46" i="6"/>
  <c r="CS46" i="6"/>
  <c r="CR46" i="6"/>
  <c r="CQ46" i="6"/>
  <c r="CP46" i="6"/>
  <c r="CH46" i="6"/>
  <c r="DC46" i="6" s="1"/>
  <c r="BQ46" i="6"/>
  <c r="BP46" i="6"/>
  <c r="BO46" i="6"/>
  <c r="BM46" i="6"/>
  <c r="BK46" i="6"/>
  <c r="BJ46" i="6"/>
  <c r="BI46" i="6"/>
  <c r="BH46" i="6"/>
  <c r="BG46" i="6"/>
  <c r="BF46" i="6"/>
  <c r="BE46" i="6"/>
  <c r="BD46" i="6"/>
  <c r="BC46" i="6"/>
  <c r="BB46" i="6"/>
  <c r="BA46" i="6"/>
  <c r="AZ46" i="6"/>
  <c r="AY46" i="6"/>
  <c r="AQ46" i="6"/>
  <c r="BL46" i="6" s="1"/>
  <c r="AB46" i="6"/>
  <c r="G46" i="6"/>
  <c r="DH45" i="6"/>
  <c r="DG45" i="6"/>
  <c r="DF45" i="6"/>
  <c r="DD45" i="6"/>
  <c r="DB45" i="6"/>
  <c r="DA45" i="6"/>
  <c r="CZ45" i="6"/>
  <c r="CY45" i="6"/>
  <c r="CX45" i="6"/>
  <c r="CW45" i="6"/>
  <c r="CV45" i="6"/>
  <c r="CU45" i="6"/>
  <c r="CT45" i="6"/>
  <c r="CS45" i="6"/>
  <c r="CR45" i="6"/>
  <c r="CQ45" i="6"/>
  <c r="CP45" i="6"/>
  <c r="CH45" i="6"/>
  <c r="BS45" i="6" s="1"/>
  <c r="BQ45" i="6"/>
  <c r="BP45" i="6"/>
  <c r="BM45" i="6"/>
  <c r="BJ45" i="6"/>
  <c r="BI45" i="6"/>
  <c r="BH45" i="6"/>
  <c r="BG45" i="6"/>
  <c r="BF45" i="6"/>
  <c r="BE45" i="6"/>
  <c r="BD45" i="6"/>
  <c r="BC45" i="6"/>
  <c r="BB45" i="6"/>
  <c r="BA45" i="6"/>
  <c r="AZ45" i="6"/>
  <c r="AY45" i="6"/>
  <c r="AQ45" i="6"/>
  <c r="AB45" i="6" s="1"/>
  <c r="U45" i="6"/>
  <c r="DH44" i="6"/>
  <c r="DG44" i="6"/>
  <c r="DF44" i="6"/>
  <c r="DD44" i="6"/>
  <c r="DB44" i="6"/>
  <c r="DA44" i="6"/>
  <c r="CZ44" i="6"/>
  <c r="CY44" i="6"/>
  <c r="CX44" i="6"/>
  <c r="CW44" i="6"/>
  <c r="CV44" i="6"/>
  <c r="CU44" i="6"/>
  <c r="CT44" i="6"/>
  <c r="CS44" i="6"/>
  <c r="CR44" i="6"/>
  <c r="CQ44" i="6"/>
  <c r="CP44" i="6"/>
  <c r="CH44" i="6"/>
  <c r="BS44" i="6"/>
  <c r="BR44" i="6" s="1"/>
  <c r="CN44" i="6" s="1"/>
  <c r="BQ44" i="6"/>
  <c r="BP44" i="6"/>
  <c r="BO44" i="6"/>
  <c r="BM44" i="6"/>
  <c r="BK44" i="6"/>
  <c r="BJ44" i="6"/>
  <c r="BI44" i="6"/>
  <c r="BH44" i="6"/>
  <c r="BG44" i="6"/>
  <c r="BF44" i="6"/>
  <c r="BE44" i="6"/>
  <c r="BD44" i="6"/>
  <c r="BC44" i="6"/>
  <c r="BB44" i="6"/>
  <c r="BA44" i="6"/>
  <c r="AZ44" i="6"/>
  <c r="AY44" i="6"/>
  <c r="AQ44" i="6"/>
  <c r="AB44" i="6" s="1"/>
  <c r="U44" i="6"/>
  <c r="G44" i="6"/>
  <c r="DH43" i="6"/>
  <c r="DG43" i="6"/>
  <c r="DF43" i="6"/>
  <c r="DD43" i="6"/>
  <c r="DC43" i="6"/>
  <c r="DB43" i="6"/>
  <c r="DA43" i="6"/>
  <c r="CY43" i="6"/>
  <c r="CX43" i="6"/>
  <c r="CW43" i="6"/>
  <c r="CV43" i="6"/>
  <c r="CU43" i="6"/>
  <c r="CT43" i="6"/>
  <c r="CS43" i="6"/>
  <c r="CR43" i="6"/>
  <c r="CQ43" i="6"/>
  <c r="CP43" i="6"/>
  <c r="CE43" i="6"/>
  <c r="BS43" i="6" s="1"/>
  <c r="BR43" i="6" s="1"/>
  <c r="CN43" i="6" s="1"/>
  <c r="BQ43" i="6"/>
  <c r="BP43" i="6"/>
  <c r="BO43" i="6"/>
  <c r="BM43" i="6"/>
  <c r="BL43" i="6"/>
  <c r="BK43" i="6"/>
  <c r="BJ43" i="6"/>
  <c r="BH43" i="6"/>
  <c r="BG43" i="6"/>
  <c r="BF43" i="6"/>
  <c r="BE43" i="6"/>
  <c r="BD43" i="6"/>
  <c r="BC43" i="6"/>
  <c r="BB43" i="6"/>
  <c r="BA43" i="6"/>
  <c r="AZ43" i="6"/>
  <c r="AY43" i="6"/>
  <c r="AN43" i="6"/>
  <c r="AB43" i="6" s="1"/>
  <c r="R43" i="6"/>
  <c r="R140" i="6" s="1"/>
  <c r="G43" i="6"/>
  <c r="AA43" i="6" s="1"/>
  <c r="AW43" i="6" s="1"/>
  <c r="DH42" i="6"/>
  <c r="DG42" i="6"/>
  <c r="DF42" i="6"/>
  <c r="DD42" i="6"/>
  <c r="DC42" i="6"/>
  <c r="DB42" i="6"/>
  <c r="DA42" i="6"/>
  <c r="CZ42" i="6"/>
  <c r="CY42" i="6"/>
  <c r="CX42" i="6"/>
  <c r="CW42" i="6"/>
  <c r="CV42" i="6"/>
  <c r="CU42" i="6"/>
  <c r="CT42" i="6"/>
  <c r="CS42" i="6"/>
  <c r="CR42" i="6"/>
  <c r="CQ42" i="6"/>
  <c r="CP42" i="6"/>
  <c r="BS42" i="6"/>
  <c r="BP42" i="6"/>
  <c r="BM42" i="6"/>
  <c r="BL42" i="6"/>
  <c r="BK42" i="6"/>
  <c r="BJ42" i="6"/>
  <c r="BI42" i="6"/>
  <c r="BH42" i="6"/>
  <c r="BG42" i="6"/>
  <c r="BF42" i="6"/>
  <c r="BE42" i="6"/>
  <c r="BD42" i="6"/>
  <c r="BC42" i="6"/>
  <c r="BB42" i="6"/>
  <c r="BA42" i="6"/>
  <c r="AZ42" i="6"/>
  <c r="AY42" i="6"/>
  <c r="AB42" i="6"/>
  <c r="AA42" i="6" s="1"/>
  <c r="AW42" i="6" s="1"/>
  <c r="Z42" i="6"/>
  <c r="G42" i="6" s="1"/>
  <c r="DH41" i="6"/>
  <c r="DF41" i="6"/>
  <c r="DD41" i="6"/>
  <c r="DC41" i="6"/>
  <c r="DB41" i="6"/>
  <c r="CZ41" i="6"/>
  <c r="CY41" i="6"/>
  <c r="CX41" i="6"/>
  <c r="CW41" i="6"/>
  <c r="CV41" i="6"/>
  <c r="CU41" i="6"/>
  <c r="CT41" i="6"/>
  <c r="CS41" i="6"/>
  <c r="CR41" i="6"/>
  <c r="CQ41" i="6"/>
  <c r="CP41" i="6"/>
  <c r="CL41" i="6"/>
  <c r="CF41" i="6"/>
  <c r="DA41" i="6" s="1"/>
  <c r="BQ41" i="6"/>
  <c r="BM41" i="6"/>
  <c r="BL41" i="6"/>
  <c r="BK41" i="6"/>
  <c r="BI41" i="6"/>
  <c r="BH41" i="6"/>
  <c r="BG41" i="6"/>
  <c r="BF41" i="6"/>
  <c r="BE41" i="6"/>
  <c r="BD41" i="6"/>
  <c r="BC41" i="6"/>
  <c r="BB41" i="6"/>
  <c r="BA41" i="6"/>
  <c r="AZ41" i="6"/>
  <c r="AY41" i="6"/>
  <c r="AU41" i="6"/>
  <c r="BP41" i="6" s="1"/>
  <c r="AO41" i="6"/>
  <c r="AB41" i="6" s="1"/>
  <c r="Y41" i="6"/>
  <c r="Y140" i="6" s="1"/>
  <c r="G41" i="6"/>
  <c r="DG40" i="6"/>
  <c r="DF40" i="6"/>
  <c r="DD40" i="6"/>
  <c r="DB40" i="6"/>
  <c r="CZ40" i="6"/>
  <c r="CY40" i="6"/>
  <c r="CX40" i="6"/>
  <c r="CW40" i="6"/>
  <c r="CV40" i="6"/>
  <c r="CU40" i="6"/>
  <c r="CT40" i="6"/>
  <c r="CS40" i="6"/>
  <c r="CR40" i="6"/>
  <c r="CQ40" i="6"/>
  <c r="CP40" i="6"/>
  <c r="CM40" i="6"/>
  <c r="CF40" i="6"/>
  <c r="DA40" i="6" s="1"/>
  <c r="BP40" i="6"/>
  <c r="BM40" i="6"/>
  <c r="BK40" i="6"/>
  <c r="BI40" i="6"/>
  <c r="BH40" i="6"/>
  <c r="BG40" i="6"/>
  <c r="BF40" i="6"/>
  <c r="BE40" i="6"/>
  <c r="BD40" i="6"/>
  <c r="BC40" i="6"/>
  <c r="BB40" i="6"/>
  <c r="BA40" i="6"/>
  <c r="AZ40" i="6"/>
  <c r="AY40" i="6"/>
  <c r="AV40" i="6"/>
  <c r="AQ40" i="6"/>
  <c r="BL40" i="6" s="1"/>
  <c r="AO40" i="6"/>
  <c r="BJ40" i="6" s="1"/>
  <c r="Z40" i="6"/>
  <c r="DH39" i="6"/>
  <c r="DG39" i="6"/>
  <c r="DF39" i="6"/>
  <c r="DD39" i="6"/>
  <c r="DC39" i="6"/>
  <c r="DB39" i="6"/>
  <c r="CZ39" i="6"/>
  <c r="CY39" i="6"/>
  <c r="CX39" i="6"/>
  <c r="CW39" i="6"/>
  <c r="CV39" i="6"/>
  <c r="CU39" i="6"/>
  <c r="CT39" i="6"/>
  <c r="CS39" i="6"/>
  <c r="CR39" i="6"/>
  <c r="CQ39" i="6"/>
  <c r="CP39" i="6"/>
  <c r="CF39" i="6"/>
  <c r="DA39" i="6" s="1"/>
  <c r="BQ39" i="6"/>
  <c r="BP39" i="6"/>
  <c r="BM39" i="6"/>
  <c r="BL39" i="6"/>
  <c r="BK39" i="6"/>
  <c r="BI39" i="6"/>
  <c r="BH39" i="6"/>
  <c r="BG39" i="6"/>
  <c r="BF39" i="6"/>
  <c r="BE39" i="6"/>
  <c r="BD39" i="6"/>
  <c r="BC39" i="6"/>
  <c r="BB39" i="6"/>
  <c r="BA39" i="6"/>
  <c r="AZ39" i="6"/>
  <c r="AY39" i="6"/>
  <c r="AO39" i="6"/>
  <c r="AB39" i="6"/>
  <c r="G39" i="6"/>
  <c r="DH38" i="6"/>
  <c r="DG38" i="6"/>
  <c r="DF38" i="6"/>
  <c r="DD38" i="6"/>
  <c r="DC38" i="6"/>
  <c r="DB38" i="6"/>
  <c r="DA38" i="6"/>
  <c r="CZ38" i="6"/>
  <c r="CY38" i="6"/>
  <c r="CX38" i="6"/>
  <c r="CW38" i="6"/>
  <c r="CV38" i="6"/>
  <c r="CU38" i="6"/>
  <c r="CT38" i="6"/>
  <c r="CS38" i="6"/>
  <c r="CR38" i="6"/>
  <c r="CQ38" i="6"/>
  <c r="CP38" i="6"/>
  <c r="CH38" i="6"/>
  <c r="BS38" i="6"/>
  <c r="BR38" i="6" s="1"/>
  <c r="CN38" i="6" s="1"/>
  <c r="BQ38" i="6"/>
  <c r="BP38" i="6"/>
  <c r="BO38" i="6"/>
  <c r="BO140" i="6" s="1"/>
  <c r="BM38" i="6"/>
  <c r="BK38" i="6"/>
  <c r="BJ38" i="6"/>
  <c r="BI38" i="6"/>
  <c r="BH38" i="6"/>
  <c r="BG38" i="6"/>
  <c r="BF38" i="6"/>
  <c r="BE38" i="6"/>
  <c r="BD38" i="6"/>
  <c r="BC38" i="6"/>
  <c r="BB38" i="6"/>
  <c r="BA38" i="6"/>
  <c r="AZ38" i="6"/>
  <c r="AY38" i="6"/>
  <c r="AQ38" i="6"/>
  <c r="AB38" i="6" s="1"/>
  <c r="AA38" i="6" s="1"/>
  <c r="AW38" i="6" s="1"/>
  <c r="G38" i="6"/>
  <c r="DH37" i="6"/>
  <c r="DG37" i="6"/>
  <c r="DF37" i="6"/>
  <c r="DD37" i="6"/>
  <c r="DC37" i="6"/>
  <c r="DB37" i="6"/>
  <c r="DA37" i="6"/>
  <c r="CZ37" i="6"/>
  <c r="CY37" i="6"/>
  <c r="CX37" i="6"/>
  <c r="CW37" i="6"/>
  <c r="CV37" i="6"/>
  <c r="CU37" i="6"/>
  <c r="CT37" i="6"/>
  <c r="CS37" i="6"/>
  <c r="CR37" i="6"/>
  <c r="CQ37" i="6"/>
  <c r="CP37" i="6"/>
  <c r="CH37" i="6"/>
  <c r="BS37" i="6"/>
  <c r="BQ37" i="6"/>
  <c r="BM37" i="6"/>
  <c r="BK37" i="6"/>
  <c r="BJ37" i="6"/>
  <c r="BI37" i="6"/>
  <c r="BH37" i="6"/>
  <c r="BG37" i="6"/>
  <c r="BF37" i="6"/>
  <c r="BE37" i="6"/>
  <c r="BD37" i="6"/>
  <c r="BC37" i="6"/>
  <c r="BB37" i="6"/>
  <c r="BA37" i="6"/>
  <c r="AZ37" i="6"/>
  <c r="AY37" i="6"/>
  <c r="AQ37" i="6"/>
  <c r="AB37" i="6"/>
  <c r="AA37" i="6" s="1"/>
  <c r="AW37" i="6" s="1"/>
  <c r="U37" i="6"/>
  <c r="BL37" i="6" s="1"/>
  <c r="G37" i="6"/>
  <c r="DH36" i="6"/>
  <c r="DG36" i="6"/>
  <c r="DF36" i="6"/>
  <c r="DD36" i="6"/>
  <c r="DC36" i="6"/>
  <c r="DB36" i="6"/>
  <c r="DA36" i="6"/>
  <c r="CZ36" i="6"/>
  <c r="CY36" i="6"/>
  <c r="CX36" i="6"/>
  <c r="CW36" i="6"/>
  <c r="CV36" i="6"/>
  <c r="CU36" i="6"/>
  <c r="CT36" i="6"/>
  <c r="CS36" i="6"/>
  <c r="CR36" i="6"/>
  <c r="CQ36" i="6"/>
  <c r="CP36" i="6"/>
  <c r="CH36" i="6"/>
  <c r="BS36" i="6" s="1"/>
  <c r="BM36" i="6"/>
  <c r="BL36" i="6"/>
  <c r="BK36" i="6"/>
  <c r="BJ36" i="6"/>
  <c r="BI36" i="6"/>
  <c r="BH36" i="6"/>
  <c r="BG36" i="6"/>
  <c r="BF36" i="6"/>
  <c r="BE36" i="6"/>
  <c r="BD36" i="6"/>
  <c r="BC36" i="6"/>
  <c r="BB36" i="6"/>
  <c r="BA36" i="6"/>
  <c r="AZ36" i="6"/>
  <c r="AY36" i="6"/>
  <c r="AV36" i="6"/>
  <c r="BQ36" i="6" s="1"/>
  <c r="AQ36" i="6"/>
  <c r="G36" i="6"/>
  <c r="DH35" i="6"/>
  <c r="DG35" i="6"/>
  <c r="DF35" i="6"/>
  <c r="DD35" i="6"/>
  <c r="DB35" i="6"/>
  <c r="DA35" i="6"/>
  <c r="CZ35" i="6"/>
  <c r="CY35" i="6"/>
  <c r="CX35" i="6"/>
  <c r="CW35" i="6"/>
  <c r="CV35" i="6"/>
  <c r="CU35" i="6"/>
  <c r="CT35" i="6"/>
  <c r="CS35" i="6"/>
  <c r="CR35" i="6"/>
  <c r="CQ35" i="6"/>
  <c r="CP35" i="6"/>
  <c r="CH35" i="6"/>
  <c r="DC35" i="6" s="1"/>
  <c r="BS35" i="6"/>
  <c r="BQ35" i="6"/>
  <c r="BM35" i="6"/>
  <c r="BL35" i="6"/>
  <c r="BK35" i="6"/>
  <c r="BJ35" i="6"/>
  <c r="BI35" i="6"/>
  <c r="BH35" i="6"/>
  <c r="BG35" i="6"/>
  <c r="BF35" i="6"/>
  <c r="BE35" i="6"/>
  <c r="BD35" i="6"/>
  <c r="BC35" i="6"/>
  <c r="BB35" i="6"/>
  <c r="BA35" i="6"/>
  <c r="AZ35" i="6"/>
  <c r="AY35" i="6"/>
  <c r="AQ35" i="6"/>
  <c r="AB35" i="6"/>
  <c r="G35" i="6"/>
  <c r="DH34" i="6"/>
  <c r="DG34" i="6"/>
  <c r="DF34" i="6"/>
  <c r="DD34" i="6"/>
  <c r="DB34" i="6"/>
  <c r="DA34" i="6"/>
  <c r="CZ34" i="6"/>
  <c r="CY34" i="6"/>
  <c r="CX34" i="6"/>
  <c r="CW34" i="6"/>
  <c r="CV34" i="6"/>
  <c r="CU34" i="6"/>
  <c r="CT34" i="6"/>
  <c r="CS34" i="6"/>
  <c r="CR34" i="6"/>
  <c r="CQ34" i="6"/>
  <c r="CP34" i="6"/>
  <c r="CJ34" i="6"/>
  <c r="CH34" i="6"/>
  <c r="BQ34" i="6"/>
  <c r="BM34" i="6"/>
  <c r="BJ34" i="6"/>
  <c r="BI34" i="6"/>
  <c r="BH34" i="6"/>
  <c r="BG34" i="6"/>
  <c r="BF34" i="6"/>
  <c r="BE34" i="6"/>
  <c r="BD34" i="6"/>
  <c r="BC34" i="6"/>
  <c r="BB34" i="6"/>
  <c r="BA34" i="6"/>
  <c r="AZ34" i="6"/>
  <c r="AY34" i="6"/>
  <c r="AS34" i="6"/>
  <c r="AS140" i="6" s="1"/>
  <c r="AQ34" i="6"/>
  <c r="AB34" i="6" s="1"/>
  <c r="W34" i="6"/>
  <c r="DE34" i="6" s="1"/>
  <c r="G34" i="6"/>
  <c r="DG33" i="6"/>
  <c r="DF33" i="6"/>
  <c r="DD33" i="6"/>
  <c r="DC33" i="6"/>
  <c r="DB33" i="6"/>
  <c r="DA33" i="6"/>
  <c r="CZ33" i="6"/>
  <c r="CY33" i="6"/>
  <c r="CX33" i="6"/>
  <c r="CW33" i="6"/>
  <c r="CV33" i="6"/>
  <c r="CU33" i="6"/>
  <c r="CT33" i="6"/>
  <c r="CS33" i="6"/>
  <c r="CR33" i="6"/>
  <c r="CQ33" i="6"/>
  <c r="CP33" i="6"/>
  <c r="CM33" i="6"/>
  <c r="BS33" i="6" s="1"/>
  <c r="BR33" i="6" s="1"/>
  <c r="CN33" i="6" s="1"/>
  <c r="BM33" i="6"/>
  <c r="BL33" i="6"/>
  <c r="BJ33" i="6"/>
  <c r="BI33" i="6"/>
  <c r="BH33" i="6"/>
  <c r="BG33" i="6"/>
  <c r="BF33" i="6"/>
  <c r="BE33" i="6"/>
  <c r="BD33" i="6"/>
  <c r="BC33" i="6"/>
  <c r="BB33" i="6"/>
  <c r="BA33" i="6"/>
  <c r="AZ33" i="6"/>
  <c r="AY33" i="6"/>
  <c r="AV33" i="6"/>
  <c r="AB33" i="6" s="1"/>
  <c r="AA33" i="6" s="1"/>
  <c r="AW33" i="6" s="1"/>
  <c r="Z33" i="6"/>
  <c r="G33" i="6"/>
  <c r="DG32" i="6"/>
  <c r="DF32" i="6"/>
  <c r="DD32" i="6"/>
  <c r="DC32" i="6"/>
  <c r="DB32" i="6"/>
  <c r="DA32" i="6"/>
  <c r="CZ32" i="6"/>
  <c r="CY32" i="6"/>
  <c r="CX32" i="6"/>
  <c r="CW32" i="6"/>
  <c r="CV32" i="6"/>
  <c r="CU32" i="6"/>
  <c r="CT32" i="6"/>
  <c r="CS32" i="6"/>
  <c r="CR32" i="6"/>
  <c r="CQ32" i="6"/>
  <c r="CP32" i="6"/>
  <c r="CM32" i="6"/>
  <c r="BS32" i="6" s="1"/>
  <c r="BM32" i="6"/>
  <c r="BL32" i="6"/>
  <c r="BJ32" i="6"/>
  <c r="BI32" i="6"/>
  <c r="BH32" i="6"/>
  <c r="BG32" i="6"/>
  <c r="BF32" i="6"/>
  <c r="BE32" i="6"/>
  <c r="BD32" i="6"/>
  <c r="BC32" i="6"/>
  <c r="BB32" i="6"/>
  <c r="BA32" i="6"/>
  <c r="AZ32" i="6"/>
  <c r="AY32" i="6"/>
  <c r="AV32" i="6"/>
  <c r="BQ32" i="6" s="1"/>
  <c r="Z32" i="6"/>
  <c r="DH31" i="6"/>
  <c r="DG31" i="6"/>
  <c r="DF31" i="6"/>
  <c r="DD31" i="6"/>
  <c r="DB31" i="6"/>
  <c r="DA31" i="6"/>
  <c r="CZ31" i="6"/>
  <c r="CY31" i="6"/>
  <c r="CX31" i="6"/>
  <c r="CW31" i="6"/>
  <c r="CV31" i="6"/>
  <c r="CU31" i="6"/>
  <c r="CT31" i="6"/>
  <c r="CS31" i="6"/>
  <c r="CR31" i="6"/>
  <c r="CQ31" i="6"/>
  <c r="CP31" i="6"/>
  <c r="CH31" i="6"/>
  <c r="DC31" i="6" s="1"/>
  <c r="BS31" i="6"/>
  <c r="BQ31" i="6"/>
  <c r="BM31" i="6"/>
  <c r="BL31" i="6"/>
  <c r="BK31" i="6"/>
  <c r="BJ31" i="6"/>
  <c r="BI31" i="6"/>
  <c r="BH31" i="6"/>
  <c r="BG31" i="6"/>
  <c r="BF31" i="6"/>
  <c r="BE31" i="6"/>
  <c r="BD31" i="6"/>
  <c r="BC31" i="6"/>
  <c r="BB31" i="6"/>
  <c r="BA31" i="6"/>
  <c r="AZ31" i="6"/>
  <c r="AY31" i="6"/>
  <c r="AQ31" i="6"/>
  <c r="AB31" i="6"/>
  <c r="G31" i="6"/>
  <c r="BR31" i="6" s="1"/>
  <c r="CN31" i="6" s="1"/>
  <c r="DH30" i="6"/>
  <c r="DG30" i="6"/>
  <c r="DF30" i="6"/>
  <c r="DD30" i="6"/>
  <c r="DC30" i="6"/>
  <c r="DB30" i="6"/>
  <c r="DA30" i="6"/>
  <c r="CY30" i="6"/>
  <c r="CX30" i="6"/>
  <c r="CW30" i="6"/>
  <c r="CV30" i="6"/>
  <c r="CU30" i="6"/>
  <c r="CT30" i="6"/>
  <c r="CS30" i="6"/>
  <c r="CR30" i="6"/>
  <c r="CQ30" i="6"/>
  <c r="CP30" i="6"/>
  <c r="CH30" i="6"/>
  <c r="CE30" i="6"/>
  <c r="CZ30" i="6" s="1"/>
  <c r="BS30" i="6"/>
  <c r="BQ30" i="6"/>
  <c r="BM30" i="6"/>
  <c r="BK30" i="6"/>
  <c r="BJ30" i="6"/>
  <c r="BH30" i="6"/>
  <c r="BG30" i="6"/>
  <c r="BF30" i="6"/>
  <c r="BE30" i="6"/>
  <c r="BD30" i="6"/>
  <c r="BC30" i="6"/>
  <c r="BB30" i="6"/>
  <c r="BA30" i="6"/>
  <c r="AZ30" i="6"/>
  <c r="AY30" i="6"/>
  <c r="AQ30" i="6"/>
  <c r="BL30" i="6" s="1"/>
  <c r="AN30" i="6"/>
  <c r="AB30" i="6"/>
  <c r="G30" i="6"/>
  <c r="DH29" i="6"/>
  <c r="DG29" i="6"/>
  <c r="DF29" i="6"/>
  <c r="DD29" i="6"/>
  <c r="DB29" i="6"/>
  <c r="DA29" i="6"/>
  <c r="CZ29" i="6"/>
  <c r="CY29" i="6"/>
  <c r="CX29" i="6"/>
  <c r="CW29" i="6"/>
  <c r="CV29" i="6"/>
  <c r="CU29" i="6"/>
  <c r="CT29" i="6"/>
  <c r="CS29" i="6"/>
  <c r="CR29" i="6"/>
  <c r="CQ29" i="6"/>
  <c r="CP29" i="6"/>
  <c r="CH29" i="6"/>
  <c r="BS29" i="6" s="1"/>
  <c r="BQ29" i="6"/>
  <c r="BM29" i="6"/>
  <c r="BK29" i="6"/>
  <c r="BJ29" i="6"/>
  <c r="BI29" i="6"/>
  <c r="BH29" i="6"/>
  <c r="BG29" i="6"/>
  <c r="BF29" i="6"/>
  <c r="BE29" i="6"/>
  <c r="BD29" i="6"/>
  <c r="BC29" i="6"/>
  <c r="BB29" i="6"/>
  <c r="BA29" i="6"/>
  <c r="AZ29" i="6"/>
  <c r="AY29" i="6"/>
  <c r="AQ29" i="6"/>
  <c r="AB29" i="6" s="1"/>
  <c r="U29" i="6"/>
  <c r="DC29" i="6" s="1"/>
  <c r="G29" i="6"/>
  <c r="DH28" i="6"/>
  <c r="DG28" i="6"/>
  <c r="DF28" i="6"/>
  <c r="DD28" i="6"/>
  <c r="DB28" i="6"/>
  <c r="DA28" i="6"/>
  <c r="CZ28" i="6"/>
  <c r="CY28" i="6"/>
  <c r="CX28" i="6"/>
  <c r="CW28" i="6"/>
  <c r="CV28" i="6"/>
  <c r="CU28" i="6"/>
  <c r="CT28" i="6"/>
  <c r="CS28" i="6"/>
  <c r="CR28" i="6"/>
  <c r="CQ28" i="6"/>
  <c r="CP28" i="6"/>
  <c r="BS28" i="6"/>
  <c r="BQ28" i="6"/>
  <c r="BM28" i="6"/>
  <c r="BK28" i="6"/>
  <c r="BJ28" i="6"/>
  <c r="BI28" i="6"/>
  <c r="BH28" i="6"/>
  <c r="BG28" i="6"/>
  <c r="BF28" i="6"/>
  <c r="BE28" i="6"/>
  <c r="BD28" i="6"/>
  <c r="BC28" i="6"/>
  <c r="BB28" i="6"/>
  <c r="BA28" i="6"/>
  <c r="AZ28" i="6"/>
  <c r="AY28" i="6"/>
  <c r="AB28" i="6"/>
  <c r="U28" i="6"/>
  <c r="DH27" i="6"/>
  <c r="DG27" i="6"/>
  <c r="DF27" i="6"/>
  <c r="DD27" i="6"/>
  <c r="DB27" i="6"/>
  <c r="DA27" i="6"/>
  <c r="CZ27" i="6"/>
  <c r="CY27" i="6"/>
  <c r="CX27" i="6"/>
  <c r="CW27" i="6"/>
  <c r="CV27" i="6"/>
  <c r="CU27" i="6"/>
  <c r="CT27" i="6"/>
  <c r="CS27" i="6"/>
  <c r="CR27" i="6"/>
  <c r="CQ27" i="6"/>
  <c r="CP27" i="6"/>
  <c r="CH27" i="6"/>
  <c r="DC27" i="6" s="1"/>
  <c r="BS27" i="6"/>
  <c r="DM27" i="6" s="1"/>
  <c r="BQ27" i="6"/>
  <c r="BM27" i="6"/>
  <c r="BK27" i="6"/>
  <c r="BJ27" i="6"/>
  <c r="BI27" i="6"/>
  <c r="BH27" i="6"/>
  <c r="BG27" i="6"/>
  <c r="BF27" i="6"/>
  <c r="BE27" i="6"/>
  <c r="BD27" i="6"/>
  <c r="BC27" i="6"/>
  <c r="BB27" i="6"/>
  <c r="BA27" i="6"/>
  <c r="AZ27" i="6"/>
  <c r="AY27" i="6"/>
  <c r="AQ27" i="6"/>
  <c r="BL27" i="6" s="1"/>
  <c r="AB27" i="6"/>
  <c r="G27" i="6"/>
  <c r="DH26" i="6"/>
  <c r="DG26" i="6"/>
  <c r="DF26" i="6"/>
  <c r="DD26" i="6"/>
  <c r="DB26" i="6"/>
  <c r="DA26" i="6"/>
  <c r="CZ26" i="6"/>
  <c r="CY26" i="6"/>
  <c r="CX26" i="6"/>
  <c r="CW26" i="6"/>
  <c r="CV26" i="6"/>
  <c r="CU26" i="6"/>
  <c r="CT26" i="6"/>
  <c r="CS26" i="6"/>
  <c r="CR26" i="6"/>
  <c r="CQ26" i="6"/>
  <c r="CP26" i="6"/>
  <c r="CH26" i="6"/>
  <c r="BS26" i="6"/>
  <c r="BR26" i="6" s="1"/>
  <c r="CN26" i="6" s="1"/>
  <c r="BQ26" i="6"/>
  <c r="BM26" i="6"/>
  <c r="BK26" i="6"/>
  <c r="BJ26" i="6"/>
  <c r="BI26" i="6"/>
  <c r="BH26" i="6"/>
  <c r="BG26" i="6"/>
  <c r="BF26" i="6"/>
  <c r="BE26" i="6"/>
  <c r="BD26" i="6"/>
  <c r="BC26" i="6"/>
  <c r="BB26" i="6"/>
  <c r="BA26" i="6"/>
  <c r="AZ26" i="6"/>
  <c r="AY26" i="6"/>
  <c r="AQ26" i="6"/>
  <c r="AB26" i="6" s="1"/>
  <c r="AA26" i="6" s="1"/>
  <c r="AW26" i="6" s="1"/>
  <c r="G26" i="6"/>
  <c r="CQ25" i="6"/>
  <c r="CO25" i="6"/>
  <c r="BS25" i="6"/>
  <c r="BR25" i="6"/>
  <c r="CN25" i="6" s="1"/>
  <c r="AZ25" i="6"/>
  <c r="AX25" i="6" s="1"/>
  <c r="AE25" i="6"/>
  <c r="AB25" i="6" s="1"/>
  <c r="G25" i="6"/>
  <c r="BV24" i="6"/>
  <c r="CQ24" i="6" s="1"/>
  <c r="CO24" i="6" s="1"/>
  <c r="BS24" i="6"/>
  <c r="AE24" i="6"/>
  <c r="AZ24" i="6" s="1"/>
  <c r="AX24" i="6" s="1"/>
  <c r="AB24" i="6"/>
  <c r="G24" i="6"/>
  <c r="DH23" i="6"/>
  <c r="DG23" i="6"/>
  <c r="DF23" i="6"/>
  <c r="DD23" i="6"/>
  <c r="DC23" i="6"/>
  <c r="DB23" i="6"/>
  <c r="DA23" i="6"/>
  <c r="CZ23" i="6"/>
  <c r="CY23" i="6"/>
  <c r="CX23" i="6"/>
  <c r="CW23" i="6"/>
  <c r="CV23" i="6"/>
  <c r="CU23" i="6"/>
  <c r="CT23" i="6"/>
  <c r="CS23" i="6"/>
  <c r="CR23" i="6"/>
  <c r="CP23" i="6"/>
  <c r="BV23" i="6"/>
  <c r="BS23" i="6" s="1"/>
  <c r="BQ23" i="6"/>
  <c r="BM23" i="6"/>
  <c r="BL23" i="6"/>
  <c r="BK23" i="6"/>
  <c r="BJ23" i="6"/>
  <c r="BI23" i="6"/>
  <c r="BH23" i="6"/>
  <c r="BG23" i="6"/>
  <c r="BF23" i="6"/>
  <c r="BE23" i="6"/>
  <c r="BD23" i="6"/>
  <c r="BC23" i="6"/>
  <c r="BB23" i="6"/>
  <c r="BA23" i="6"/>
  <c r="AY23" i="6"/>
  <c r="AV23" i="6"/>
  <c r="AE23" i="6"/>
  <c r="AB23" i="6"/>
  <c r="I23" i="6"/>
  <c r="I60" i="6" s="1"/>
  <c r="DH22" i="6"/>
  <c r="DG22" i="6"/>
  <c r="DF22" i="6"/>
  <c r="DD22" i="6"/>
  <c r="DC22" i="6"/>
  <c r="DB22" i="6"/>
  <c r="DA22" i="6"/>
  <c r="CZ22" i="6"/>
  <c r="CY22" i="6"/>
  <c r="CX22" i="6"/>
  <c r="CW22" i="6"/>
  <c r="CV22" i="6"/>
  <c r="CU22" i="6"/>
  <c r="CT22" i="6"/>
  <c r="CS22" i="6"/>
  <c r="CR22" i="6"/>
  <c r="CP22" i="6"/>
  <c r="BV22" i="6"/>
  <c r="CQ22" i="6" s="1"/>
  <c r="BS22" i="6"/>
  <c r="BQ22" i="6"/>
  <c r="BM22" i="6"/>
  <c r="BL22" i="6"/>
  <c r="BK22" i="6"/>
  <c r="BJ22" i="6"/>
  <c r="BI22" i="6"/>
  <c r="BH22" i="6"/>
  <c r="BG22" i="6"/>
  <c r="BF22" i="6"/>
  <c r="BE22" i="6"/>
  <c r="BD22" i="6"/>
  <c r="BC22" i="6"/>
  <c r="BB22" i="6"/>
  <c r="BA22" i="6"/>
  <c r="AY22" i="6"/>
  <c r="AE22" i="6"/>
  <c r="AZ22" i="6" s="1"/>
  <c r="AB22" i="6"/>
  <c r="G22" i="6"/>
  <c r="DH21" i="6"/>
  <c r="DG21" i="6"/>
  <c r="DF21" i="6"/>
  <c r="DD21" i="6"/>
  <c r="DC21" i="6"/>
  <c r="DB21" i="6"/>
  <c r="DA21" i="6"/>
  <c r="CZ21" i="6"/>
  <c r="CY21" i="6"/>
  <c r="CX21" i="6"/>
  <c r="CW21" i="6"/>
  <c r="CV21" i="6"/>
  <c r="CU21" i="6"/>
  <c r="CT21" i="6"/>
  <c r="CS21" i="6"/>
  <c r="CR21" i="6"/>
  <c r="CQ21" i="6"/>
  <c r="CP21" i="6"/>
  <c r="BV21" i="6"/>
  <c r="BS21" i="6"/>
  <c r="BQ21" i="6"/>
  <c r="BM21" i="6"/>
  <c r="BL21" i="6"/>
  <c r="BK21" i="6"/>
  <c r="BJ21" i="6"/>
  <c r="BI21" i="6"/>
  <c r="BH21" i="6"/>
  <c r="BG21" i="6"/>
  <c r="BF21" i="6"/>
  <c r="BE21" i="6"/>
  <c r="BD21" i="6"/>
  <c r="BC21" i="6"/>
  <c r="BB21" i="6"/>
  <c r="BA21" i="6"/>
  <c r="AY21" i="6"/>
  <c r="AE21" i="6"/>
  <c r="AB21" i="6"/>
  <c r="G21" i="6"/>
  <c r="BR21" i="6" s="1"/>
  <c r="CN21" i="6" s="1"/>
  <c r="DE20" i="6"/>
  <c r="CL20" i="6"/>
  <c r="CK20" i="6"/>
  <c r="CI20" i="6"/>
  <c r="CH20" i="6"/>
  <c r="CE20" i="6"/>
  <c r="CD20" i="6"/>
  <c r="CC20" i="6"/>
  <c r="CB20" i="6"/>
  <c r="CA20" i="6"/>
  <c r="BZ20" i="6"/>
  <c r="BW20" i="6"/>
  <c r="BU20" i="6"/>
  <c r="BT20" i="6"/>
  <c r="AU20" i="6"/>
  <c r="AT20" i="6"/>
  <c r="AS20" i="6"/>
  <c r="AR20" i="6"/>
  <c r="AQ20" i="6"/>
  <c r="AN20" i="6"/>
  <c r="AM20" i="6"/>
  <c r="AL20" i="6"/>
  <c r="AK20" i="6"/>
  <c r="AJ20" i="6"/>
  <c r="AI20" i="6"/>
  <c r="AF20" i="6"/>
  <c r="AD20" i="6"/>
  <c r="Y20" i="6"/>
  <c r="X20" i="6"/>
  <c r="X135" i="6" s="1"/>
  <c r="V20" i="6"/>
  <c r="U20" i="6"/>
  <c r="T20" i="6"/>
  <c r="S20" i="6"/>
  <c r="R20" i="6"/>
  <c r="Q20" i="6"/>
  <c r="P20" i="6"/>
  <c r="O20" i="6"/>
  <c r="O135" i="6" s="1"/>
  <c r="N20" i="6"/>
  <c r="M20" i="6"/>
  <c r="L20" i="6"/>
  <c r="J20" i="6"/>
  <c r="H20" i="6"/>
  <c r="DG19" i="6"/>
  <c r="DF19" i="6"/>
  <c r="DD19" i="6"/>
  <c r="DC19" i="6"/>
  <c r="DB19" i="6"/>
  <c r="DA19" i="6"/>
  <c r="CZ19" i="6"/>
  <c r="CY19" i="6"/>
  <c r="CX19" i="6"/>
  <c r="CW19" i="6"/>
  <c r="CV19" i="6"/>
  <c r="CU19" i="6"/>
  <c r="CT19" i="6"/>
  <c r="CR19" i="6"/>
  <c r="CQ19" i="6"/>
  <c r="CP19" i="6"/>
  <c r="CM19" i="6"/>
  <c r="BX19" i="6"/>
  <c r="BS19" i="6" s="1"/>
  <c r="BP19" i="6"/>
  <c r="BM19" i="6"/>
  <c r="BL19" i="6"/>
  <c r="BK19" i="6"/>
  <c r="BJ19" i="6"/>
  <c r="BI19" i="6"/>
  <c r="BH19" i="6"/>
  <c r="BG19" i="6"/>
  <c r="BF19" i="6"/>
  <c r="BE19" i="6"/>
  <c r="BD19" i="6"/>
  <c r="BC19" i="6"/>
  <c r="BA19" i="6"/>
  <c r="AZ19" i="6"/>
  <c r="AY19" i="6"/>
  <c r="AV19" i="6"/>
  <c r="AG19" i="6"/>
  <c r="Z19" i="6"/>
  <c r="K19" i="6"/>
  <c r="CS19" i="6" s="1"/>
  <c r="DH18" i="6"/>
  <c r="DG18" i="6"/>
  <c r="DF18" i="6"/>
  <c r="DD18" i="6"/>
  <c r="DC18" i="6"/>
  <c r="DB18" i="6"/>
  <c r="DA18" i="6"/>
  <c r="CZ18" i="6"/>
  <c r="CY18" i="6"/>
  <c r="CX18" i="6"/>
  <c r="CW18" i="6"/>
  <c r="CV18" i="6"/>
  <c r="CU18" i="6"/>
  <c r="CT18" i="6"/>
  <c r="CR18" i="6"/>
  <c r="CQ18" i="6"/>
  <c r="CP18" i="6"/>
  <c r="BX18" i="6"/>
  <c r="BS18" i="6"/>
  <c r="BQ18" i="6"/>
  <c r="BP18" i="6"/>
  <c r="BM18" i="6"/>
  <c r="BL18" i="6"/>
  <c r="BK18" i="6"/>
  <c r="BJ18" i="6"/>
  <c r="BI18" i="6"/>
  <c r="BH18" i="6"/>
  <c r="BG18" i="6"/>
  <c r="BF18" i="6"/>
  <c r="BE18" i="6"/>
  <c r="BD18" i="6"/>
  <c r="BC18" i="6"/>
  <c r="BA18" i="6"/>
  <c r="AZ18" i="6"/>
  <c r="AY18" i="6"/>
  <c r="AG18" i="6"/>
  <c r="AB18" i="6" s="1"/>
  <c r="K18" i="6"/>
  <c r="DH17" i="6"/>
  <c r="DG17" i="6"/>
  <c r="DF17" i="6"/>
  <c r="DD17" i="6"/>
  <c r="DC17" i="6"/>
  <c r="DB17" i="6"/>
  <c r="DA17" i="6"/>
  <c r="CZ17" i="6"/>
  <c r="CY17" i="6"/>
  <c r="CX17" i="6"/>
  <c r="CW17" i="6"/>
  <c r="CV17" i="6"/>
  <c r="CU17" i="6"/>
  <c r="CT17" i="6"/>
  <c r="CR17" i="6"/>
  <c r="CQ17" i="6"/>
  <c r="CP17" i="6"/>
  <c r="BX17" i="6"/>
  <c r="BS17" i="6" s="1"/>
  <c r="BR17" i="6" s="1"/>
  <c r="CN17" i="6" s="1"/>
  <c r="BQ17" i="6"/>
  <c r="BP17" i="6"/>
  <c r="BO17" i="6"/>
  <c r="BM17" i="6"/>
  <c r="BL17" i="6"/>
  <c r="BK17" i="6"/>
  <c r="BJ17" i="6"/>
  <c r="BI17" i="6"/>
  <c r="BH17" i="6"/>
  <c r="BG17" i="6"/>
  <c r="BF17" i="6"/>
  <c r="BE17" i="6"/>
  <c r="BD17" i="6"/>
  <c r="BC17" i="6"/>
  <c r="BA17" i="6"/>
  <c r="AZ17" i="6"/>
  <c r="AY17" i="6"/>
  <c r="AG17" i="6"/>
  <c r="AB17" i="6" s="1"/>
  <c r="K17" i="6"/>
  <c r="G17" i="6" s="1"/>
  <c r="DG16" i="6"/>
  <c r="DF16" i="6"/>
  <c r="DD16" i="6"/>
  <c r="DC16" i="6"/>
  <c r="DB16" i="6"/>
  <c r="DA16" i="6"/>
  <c r="CZ16" i="6"/>
  <c r="CY16" i="6"/>
  <c r="CX16" i="6"/>
  <c r="CW16" i="6"/>
  <c r="CV16" i="6"/>
  <c r="CU16" i="6"/>
  <c r="CT16" i="6"/>
  <c r="CS16" i="6"/>
  <c r="CR16" i="6"/>
  <c r="CQ16" i="6"/>
  <c r="CP16" i="6"/>
  <c r="BS16" i="6"/>
  <c r="BP16" i="6"/>
  <c r="BM16" i="6"/>
  <c r="BL16" i="6"/>
  <c r="BK16" i="6"/>
  <c r="BJ16" i="6"/>
  <c r="BI16" i="6"/>
  <c r="BH16" i="6"/>
  <c r="BG16" i="6"/>
  <c r="BF16" i="6"/>
  <c r="BE16" i="6"/>
  <c r="BD16" i="6"/>
  <c r="BC16" i="6"/>
  <c r="BB16" i="6"/>
  <c r="BA16" i="6"/>
  <c r="AZ16" i="6"/>
  <c r="AY16" i="6"/>
  <c r="AB16" i="6"/>
  <c r="Z16" i="6"/>
  <c r="BQ16" i="6" s="1"/>
  <c r="DH15" i="6"/>
  <c r="DG15" i="6"/>
  <c r="DF15" i="6"/>
  <c r="DD15" i="6"/>
  <c r="DC15" i="6"/>
  <c r="DB15" i="6"/>
  <c r="CZ15" i="6"/>
  <c r="CY15" i="6"/>
  <c r="CX15" i="6"/>
  <c r="CW15" i="6"/>
  <c r="CV15" i="6"/>
  <c r="CU15" i="6"/>
  <c r="CT15" i="6"/>
  <c r="CR15" i="6"/>
  <c r="CQ15" i="6"/>
  <c r="CP15" i="6"/>
  <c r="BX15" i="6"/>
  <c r="CF15" i="6" s="1"/>
  <c r="DA15" i="6" s="1"/>
  <c r="BQ15" i="6"/>
  <c r="BP15" i="6"/>
  <c r="BM15" i="6"/>
  <c r="BL15" i="6"/>
  <c r="BK15" i="6"/>
  <c r="BJ15" i="6"/>
  <c r="BI15" i="6"/>
  <c r="BH15" i="6"/>
  <c r="BG15" i="6"/>
  <c r="BF15" i="6"/>
  <c r="BE15" i="6"/>
  <c r="BD15" i="6"/>
  <c r="BC15" i="6"/>
  <c r="BB15" i="6"/>
  <c r="BA15" i="6"/>
  <c r="AZ15" i="6"/>
  <c r="AY15" i="6"/>
  <c r="AO15" i="6"/>
  <c r="AO141" i="6" s="1"/>
  <c r="AG15" i="6"/>
  <c r="AB15" i="6"/>
  <c r="G15" i="6"/>
  <c r="DH14" i="6"/>
  <c r="DG14" i="6"/>
  <c r="DF14" i="6"/>
  <c r="DD14" i="6"/>
  <c r="DC14" i="6"/>
  <c r="DB14" i="6"/>
  <c r="DA14" i="6"/>
  <c r="CZ14" i="6"/>
  <c r="CY14" i="6"/>
  <c r="CX14" i="6"/>
  <c r="CW14" i="6"/>
  <c r="CV14" i="6"/>
  <c r="CU14" i="6"/>
  <c r="CT14" i="6"/>
  <c r="CS14" i="6"/>
  <c r="CR14" i="6"/>
  <c r="CQ14" i="6"/>
  <c r="CP14" i="6"/>
  <c r="BX14" i="6"/>
  <c r="BS14" i="6"/>
  <c r="BQ14" i="6"/>
  <c r="BP14" i="6"/>
  <c r="BO14" i="6"/>
  <c r="BM14" i="6"/>
  <c r="BL14" i="6"/>
  <c r="BK14" i="6"/>
  <c r="BJ14" i="6"/>
  <c r="BI14" i="6"/>
  <c r="BH14" i="6"/>
  <c r="BG14" i="6"/>
  <c r="BF14" i="6"/>
  <c r="BE14" i="6"/>
  <c r="BD14" i="6"/>
  <c r="BC14" i="6"/>
  <c r="BA14" i="6"/>
  <c r="AZ14" i="6"/>
  <c r="AY14" i="6"/>
  <c r="AG14" i="6"/>
  <c r="BB14" i="6" s="1"/>
  <c r="AB14" i="6"/>
  <c r="G14" i="6"/>
  <c r="AA14" i="6" s="1"/>
  <c r="AW14" i="6" s="1"/>
  <c r="DG13" i="6"/>
  <c r="DF13" i="6"/>
  <c r="DD13" i="6"/>
  <c r="DC13" i="6"/>
  <c r="DA13" i="6"/>
  <c r="CZ13" i="6"/>
  <c r="CY13" i="6"/>
  <c r="CX13" i="6"/>
  <c r="CW13" i="6"/>
  <c r="CV13" i="6"/>
  <c r="CU13" i="6"/>
  <c r="CR13" i="6"/>
  <c r="CQ13" i="6"/>
  <c r="CP13" i="6"/>
  <c r="CM13" i="6"/>
  <c r="CG13" i="6"/>
  <c r="CG141" i="6" s="1"/>
  <c r="BY13" i="6"/>
  <c r="BY20" i="6" s="1"/>
  <c r="BP13" i="6"/>
  <c r="BM13" i="6"/>
  <c r="BL13" i="6"/>
  <c r="BK13" i="6"/>
  <c r="BJ13" i="6"/>
  <c r="BI13" i="6"/>
  <c r="BH13" i="6"/>
  <c r="BG13" i="6"/>
  <c r="BF13" i="6"/>
  <c r="BE13" i="6"/>
  <c r="BD13" i="6"/>
  <c r="BC13" i="6"/>
  <c r="BB13" i="6"/>
  <c r="BA13" i="6"/>
  <c r="AZ13" i="6"/>
  <c r="AY13" i="6"/>
  <c r="AV13" i="6"/>
  <c r="AP13" i="6"/>
  <c r="AP141" i="6" s="1"/>
  <c r="AH13" i="6"/>
  <c r="AH20" i="6" s="1"/>
  <c r="Z13" i="6"/>
  <c r="BQ13" i="6" s="1"/>
  <c r="DH12" i="6"/>
  <c r="DG12" i="6"/>
  <c r="DF12" i="6"/>
  <c r="DD12" i="6"/>
  <c r="DC12" i="6"/>
  <c r="DB12" i="6"/>
  <c r="DA12" i="6"/>
  <c r="CZ12" i="6"/>
  <c r="CY12" i="6"/>
  <c r="CX12" i="6"/>
  <c r="CW12" i="6"/>
  <c r="CV12" i="6"/>
  <c r="CU12" i="6"/>
  <c r="CT12" i="6"/>
  <c r="CR12" i="6"/>
  <c r="CQ12" i="6"/>
  <c r="CP12" i="6"/>
  <c r="BX12" i="6"/>
  <c r="CS12" i="6" s="1"/>
  <c r="BS12" i="6"/>
  <c r="BQ12" i="6"/>
  <c r="BP12" i="6"/>
  <c r="BM12" i="6"/>
  <c r="BL12" i="6"/>
  <c r="BK12" i="6"/>
  <c r="BJ12" i="6"/>
  <c r="BI12" i="6"/>
  <c r="BH12" i="6"/>
  <c r="BG12" i="6"/>
  <c r="BF12" i="6"/>
  <c r="BE12" i="6"/>
  <c r="BD12" i="6"/>
  <c r="BC12" i="6"/>
  <c r="BA12" i="6"/>
  <c r="AZ12" i="6"/>
  <c r="AY12" i="6"/>
  <c r="AG12" i="6"/>
  <c r="BB12" i="6" s="1"/>
  <c r="AB12" i="6"/>
  <c r="G12" i="6"/>
  <c r="DH11" i="6"/>
  <c r="DG11" i="6"/>
  <c r="DF11" i="6"/>
  <c r="DD11" i="6"/>
  <c r="DC11" i="6"/>
  <c r="DB11" i="6"/>
  <c r="DA11" i="6"/>
  <c r="CZ11" i="6"/>
  <c r="CY11" i="6"/>
  <c r="CX11" i="6"/>
  <c r="CW11" i="6"/>
  <c r="CV11" i="6"/>
  <c r="CU11" i="6"/>
  <c r="CT11" i="6"/>
  <c r="CS11" i="6"/>
  <c r="CR11" i="6"/>
  <c r="CQ11" i="6"/>
  <c r="CP11" i="6"/>
  <c r="BV11" i="6"/>
  <c r="BS11" i="6"/>
  <c r="BQ11" i="6"/>
  <c r="BP11" i="6"/>
  <c r="BM11" i="6"/>
  <c r="BL11" i="6"/>
  <c r="BK11" i="6"/>
  <c r="BJ11" i="6"/>
  <c r="BI11" i="6"/>
  <c r="BH11" i="6"/>
  <c r="BG11" i="6"/>
  <c r="BF11" i="6"/>
  <c r="BE11" i="6"/>
  <c r="BD11" i="6"/>
  <c r="BC11" i="6"/>
  <c r="BB11" i="6"/>
  <c r="BA11" i="6"/>
  <c r="AY11" i="6"/>
  <c r="AE11" i="6"/>
  <c r="AZ11" i="6" s="1"/>
  <c r="AB11" i="6"/>
  <c r="G11" i="6"/>
  <c r="DH10" i="6"/>
  <c r="DG10" i="6"/>
  <c r="DF10" i="6"/>
  <c r="DD10" i="6"/>
  <c r="DC10" i="6"/>
  <c r="DB10" i="6"/>
  <c r="DA10" i="6"/>
  <c r="CZ10" i="6"/>
  <c r="CY10" i="6"/>
  <c r="CX10" i="6"/>
  <c r="CW10" i="6"/>
  <c r="CV10" i="6"/>
  <c r="CU10" i="6"/>
  <c r="CT10" i="6"/>
  <c r="CR10" i="6"/>
  <c r="CQ10" i="6"/>
  <c r="CP10" i="6"/>
  <c r="BX10" i="6"/>
  <c r="BS10" i="6" s="1"/>
  <c r="BR10" i="6" s="1"/>
  <c r="CN10" i="6" s="1"/>
  <c r="BQ10" i="6"/>
  <c r="BP10" i="6"/>
  <c r="BM10" i="6"/>
  <c r="BL10" i="6"/>
  <c r="BK10" i="6"/>
  <c r="BJ10" i="6"/>
  <c r="BI10" i="6"/>
  <c r="BH10" i="6"/>
  <c r="BG10" i="6"/>
  <c r="BF10" i="6"/>
  <c r="BE10" i="6"/>
  <c r="BD10" i="6"/>
  <c r="BC10" i="6"/>
  <c r="BA10" i="6"/>
  <c r="AZ10" i="6"/>
  <c r="AY10" i="6"/>
  <c r="AG10" i="6"/>
  <c r="AB10" i="6" s="1"/>
  <c r="K10" i="6"/>
  <c r="CS10" i="6" s="1"/>
  <c r="G10" i="6"/>
  <c r="DG9" i="6"/>
  <c r="DF9" i="6"/>
  <c r="DD9" i="6"/>
  <c r="DC9" i="6"/>
  <c r="DB9" i="6"/>
  <c r="DA9" i="6"/>
  <c r="CZ9" i="6"/>
  <c r="CY9" i="6"/>
  <c r="CX9" i="6"/>
  <c r="CW9" i="6"/>
  <c r="CV9" i="6"/>
  <c r="CU9" i="6"/>
  <c r="CT9" i="6"/>
  <c r="CR9" i="6"/>
  <c r="CP9" i="6"/>
  <c r="CM9" i="6"/>
  <c r="CM139" i="6" s="1"/>
  <c r="BV9" i="6"/>
  <c r="BV20" i="6" s="1"/>
  <c r="BP9" i="6"/>
  <c r="BM9" i="6"/>
  <c r="BL9" i="6"/>
  <c r="BK9" i="6"/>
  <c r="BJ9" i="6"/>
  <c r="BI9" i="6"/>
  <c r="BH9" i="6"/>
  <c r="BG9" i="6"/>
  <c r="BF9" i="6"/>
  <c r="BE9" i="6"/>
  <c r="BD9" i="6"/>
  <c r="BC9" i="6"/>
  <c r="BA9" i="6"/>
  <c r="AY9" i="6"/>
  <c r="AV9" i="6"/>
  <c r="AG9" i="6"/>
  <c r="BB9" i="6" s="1"/>
  <c r="AE9" i="6"/>
  <c r="Z9" i="6"/>
  <c r="K9" i="6"/>
  <c r="CS9" i="6" s="1"/>
  <c r="I9" i="6"/>
  <c r="AZ9" i="6" s="1"/>
  <c r="G9" i="6"/>
  <c r="DH8" i="6"/>
  <c r="DG8" i="6"/>
  <c r="DF8" i="6"/>
  <c r="DD8" i="6"/>
  <c r="DC8" i="6"/>
  <c r="DB8" i="6"/>
  <c r="DA8" i="6"/>
  <c r="CZ8" i="6"/>
  <c r="CY8" i="6"/>
  <c r="CX8" i="6"/>
  <c r="CW8" i="6"/>
  <c r="CV8" i="6"/>
  <c r="CU8" i="6"/>
  <c r="CT8" i="6"/>
  <c r="CR8" i="6"/>
  <c r="CP8" i="6"/>
  <c r="BX8" i="6"/>
  <c r="BV8" i="6"/>
  <c r="BQ8" i="6"/>
  <c r="BP8" i="6"/>
  <c r="BM8" i="6"/>
  <c r="BL8" i="6"/>
  <c r="BK8" i="6"/>
  <c r="BJ8" i="6"/>
  <c r="BI8" i="6"/>
  <c r="BH8" i="6"/>
  <c r="BG8" i="6"/>
  <c r="BF8" i="6"/>
  <c r="BE8" i="6"/>
  <c r="BD8" i="6"/>
  <c r="BC8" i="6"/>
  <c r="BA8" i="6"/>
  <c r="AY8" i="6"/>
  <c r="AG8" i="6"/>
  <c r="AE8" i="6"/>
  <c r="K8" i="6"/>
  <c r="I8" i="6"/>
  <c r="DG7" i="6"/>
  <c r="DF7" i="6"/>
  <c r="DD7" i="6"/>
  <c r="DC7" i="6"/>
  <c r="DB7" i="6"/>
  <c r="DA7" i="6"/>
  <c r="CZ7" i="6"/>
  <c r="CY7" i="6"/>
  <c r="CX7" i="6"/>
  <c r="CW7" i="6"/>
  <c r="CV7" i="6"/>
  <c r="CU7" i="6"/>
  <c r="CT7" i="6"/>
  <c r="CR7" i="6"/>
  <c r="CQ7" i="6"/>
  <c r="CP7" i="6"/>
  <c r="CM7" i="6"/>
  <c r="BS7" i="6"/>
  <c r="BP7" i="6"/>
  <c r="BM7" i="6"/>
  <c r="BL7" i="6"/>
  <c r="BK7" i="6"/>
  <c r="BJ7" i="6"/>
  <c r="BI7" i="6"/>
  <c r="BH7" i="6"/>
  <c r="BG7" i="6"/>
  <c r="BF7" i="6"/>
  <c r="BE7" i="6"/>
  <c r="BD7" i="6"/>
  <c r="BC7" i="6"/>
  <c r="BB7" i="6"/>
  <c r="BA7" i="6"/>
  <c r="AY7" i="6"/>
  <c r="AV7" i="6"/>
  <c r="AB7" i="6" s="1"/>
  <c r="Z7" i="6"/>
  <c r="K7" i="6"/>
  <c r="CS7" i="6" s="1"/>
  <c r="I7" i="6"/>
  <c r="AZ7" i="6" s="1"/>
  <c r="DH6" i="6"/>
  <c r="DG6" i="6"/>
  <c r="DF6" i="6"/>
  <c r="DD6" i="6"/>
  <c r="DC6" i="6"/>
  <c r="DB6" i="6"/>
  <c r="DA6" i="6"/>
  <c r="CZ6" i="6"/>
  <c r="CY6" i="6"/>
  <c r="CX6" i="6"/>
  <c r="CW6" i="6"/>
  <c r="CV6" i="6"/>
  <c r="CU6" i="6"/>
  <c r="CT6" i="6"/>
  <c r="CR6" i="6"/>
  <c r="CP6" i="6"/>
  <c r="BX6" i="6"/>
  <c r="BQ6" i="6"/>
  <c r="BP6" i="6"/>
  <c r="BM6" i="6"/>
  <c r="BL6" i="6"/>
  <c r="BK6" i="6"/>
  <c r="BJ6" i="6"/>
  <c r="BI6" i="6"/>
  <c r="BH6" i="6"/>
  <c r="BG6" i="6"/>
  <c r="BF6" i="6"/>
  <c r="BE6" i="6"/>
  <c r="BD6" i="6"/>
  <c r="BC6" i="6"/>
  <c r="BA6" i="6"/>
  <c r="AZ6" i="6"/>
  <c r="AY6" i="6"/>
  <c r="AG6" i="6"/>
  <c r="AB6" i="6"/>
  <c r="K6" i="6"/>
  <c r="BB6" i="6" s="1"/>
  <c r="I6" i="6"/>
  <c r="CQ6" i="6" s="1"/>
  <c r="DG5" i="6"/>
  <c r="DF5" i="6"/>
  <c r="DD5" i="6"/>
  <c r="DC5" i="6"/>
  <c r="DB5" i="6"/>
  <c r="DA5" i="6"/>
  <c r="CZ5" i="6"/>
  <c r="CY5" i="6"/>
  <c r="CX5" i="6"/>
  <c r="CW5" i="6"/>
  <c r="CV5" i="6"/>
  <c r="CU5" i="6"/>
  <c r="CT5" i="6"/>
  <c r="CR5" i="6"/>
  <c r="CP5" i="6"/>
  <c r="BX5" i="6"/>
  <c r="CM5" i="6" s="1"/>
  <c r="DH5" i="6" s="1"/>
  <c r="BP5" i="6"/>
  <c r="BM5" i="6"/>
  <c r="BL5" i="6"/>
  <c r="BK5" i="6"/>
  <c r="BJ5" i="6"/>
  <c r="BI5" i="6"/>
  <c r="BH5" i="6"/>
  <c r="BG5" i="6"/>
  <c r="BF5" i="6"/>
  <c r="BE5" i="6"/>
  <c r="BD5" i="6"/>
  <c r="BC5" i="6"/>
  <c r="BA5" i="6"/>
  <c r="AY5" i="6"/>
  <c r="AV5" i="6"/>
  <c r="AG5" i="6"/>
  <c r="Z5" i="6"/>
  <c r="K5" i="6"/>
  <c r="K20" i="6" s="1"/>
  <c r="I5" i="6"/>
  <c r="DH4" i="6"/>
  <c r="DG4" i="6"/>
  <c r="DF4" i="6"/>
  <c r="DD4" i="6"/>
  <c r="DC4" i="6"/>
  <c r="DB4" i="6"/>
  <c r="DA4" i="6"/>
  <c r="CZ4" i="6"/>
  <c r="CY4" i="6"/>
  <c r="CX4" i="6"/>
  <c r="CW4" i="6"/>
  <c r="CV4" i="6"/>
  <c r="CU4" i="6"/>
  <c r="CT4" i="6"/>
  <c r="CS4" i="6"/>
  <c r="CR4" i="6"/>
  <c r="CQ4" i="6"/>
  <c r="CP4" i="6"/>
  <c r="BX4" i="6"/>
  <c r="BS4" i="6" s="1"/>
  <c r="BQ4" i="6"/>
  <c r="BP4" i="6"/>
  <c r="BO4" i="6"/>
  <c r="BM4" i="6"/>
  <c r="BL4" i="6"/>
  <c r="BK4" i="6"/>
  <c r="BJ4" i="6"/>
  <c r="BI4" i="6"/>
  <c r="BH4" i="6"/>
  <c r="BG4" i="6"/>
  <c r="BF4" i="6"/>
  <c r="BE4" i="6"/>
  <c r="BD4" i="6"/>
  <c r="BC4" i="6"/>
  <c r="BB4" i="6"/>
  <c r="BA4" i="6"/>
  <c r="AZ4" i="6"/>
  <c r="AY4" i="6"/>
  <c r="AB4" i="6"/>
  <c r="G4" i="6"/>
  <c r="BL3" i="6"/>
  <c r="CH3" i="6" s="1"/>
  <c r="DC3" i="6" s="1"/>
  <c r="CK143" i="6" l="1"/>
  <c r="AO20" i="6"/>
  <c r="AB36" i="6"/>
  <c r="AA36" i="6" s="1"/>
  <c r="AW36" i="6" s="1"/>
  <c r="AB51" i="6"/>
  <c r="CO68" i="6"/>
  <c r="BR80" i="6"/>
  <c r="DN125" i="6"/>
  <c r="CO63" i="6"/>
  <c r="AS60" i="6"/>
  <c r="BB130" i="6"/>
  <c r="DN63" i="6"/>
  <c r="DM82" i="6"/>
  <c r="DM26" i="6"/>
  <c r="BJ41" i="6"/>
  <c r="AB58" i="6"/>
  <c r="CF138" i="6"/>
  <c r="DN105" i="6"/>
  <c r="DM105" i="6"/>
  <c r="BB18" i="6"/>
  <c r="BL34" i="6"/>
  <c r="AB50" i="6"/>
  <c r="AO93" i="6"/>
  <c r="AB100" i="6"/>
  <c r="DH121" i="6"/>
  <c r="CO121" i="6" s="1"/>
  <c r="BS132" i="6"/>
  <c r="DM132" i="6" s="1"/>
  <c r="CK133" i="6"/>
  <c r="BB79" i="6"/>
  <c r="BL29" i="6"/>
  <c r="AX29" i="6" s="1"/>
  <c r="AZ52" i="6"/>
  <c r="AX52" i="6" s="1"/>
  <c r="BS55" i="6"/>
  <c r="AB57" i="6"/>
  <c r="BR85" i="6"/>
  <c r="BR96" i="6"/>
  <c r="AG133" i="6"/>
  <c r="DN82" i="6"/>
  <c r="DM63" i="6"/>
  <c r="G157" i="6"/>
  <c r="CS76" i="6"/>
  <c r="AA99" i="6"/>
  <c r="AW99" i="6" s="1"/>
  <c r="AA100" i="6"/>
  <c r="AW100" i="6" s="1"/>
  <c r="BS106" i="6"/>
  <c r="DM106" i="6" s="1"/>
  <c r="BL124" i="6"/>
  <c r="AX124" i="6" s="1"/>
  <c r="K133" i="6"/>
  <c r="DH9" i="6"/>
  <c r="AA22" i="6"/>
  <c r="AW22" i="6" s="1"/>
  <c r="DH32" i="6"/>
  <c r="BO60" i="6"/>
  <c r="DG93" i="6"/>
  <c r="AX87" i="6"/>
  <c r="AX14" i="6"/>
  <c r="AA15" i="6"/>
  <c r="AW15" i="6" s="1"/>
  <c r="AX16" i="6"/>
  <c r="AA21" i="6"/>
  <c r="AW21" i="6" s="1"/>
  <c r="CZ43" i="6"/>
  <c r="CV138" i="6"/>
  <c r="CO36" i="6"/>
  <c r="BR42" i="6"/>
  <c r="CN42" i="6" s="1"/>
  <c r="DC44" i="6"/>
  <c r="CO44" i="6" s="1"/>
  <c r="BS46" i="6"/>
  <c r="G49" i="6"/>
  <c r="BR49" i="6" s="1"/>
  <c r="CN49" i="6" s="1"/>
  <c r="AU60" i="6"/>
  <c r="BP50" i="6"/>
  <c r="CT61" i="6"/>
  <c r="CT142" i="6" s="1"/>
  <c r="DH67" i="6"/>
  <c r="CO67" i="6" s="1"/>
  <c r="DH70" i="6"/>
  <c r="BS71" i="6"/>
  <c r="BR71" i="6" s="1"/>
  <c r="CN71" i="6" s="1"/>
  <c r="BQ75" i="6"/>
  <c r="AX75" i="6" s="1"/>
  <c r="AA78" i="6"/>
  <c r="AW78" i="6" s="1"/>
  <c r="BR87" i="6"/>
  <c r="CN87" i="6" s="1"/>
  <c r="CQ113" i="6"/>
  <c r="BS99" i="6"/>
  <c r="BS100" i="6"/>
  <c r="CQ119" i="6"/>
  <c r="CO119" i="6" s="1"/>
  <c r="DH122" i="6"/>
  <c r="U138" i="6"/>
  <c r="BR97" i="6"/>
  <c r="CS127" i="6"/>
  <c r="CO127" i="6" s="1"/>
  <c r="CO17" i="6"/>
  <c r="AA31" i="6"/>
  <c r="AW31" i="6" s="1"/>
  <c r="CO42" i="6"/>
  <c r="AB52" i="6"/>
  <c r="CS77" i="6"/>
  <c r="Z139" i="6"/>
  <c r="DH62" i="6"/>
  <c r="CO96" i="6"/>
  <c r="BI137" i="6"/>
  <c r="AZ120" i="6"/>
  <c r="DC124" i="6"/>
  <c r="DC133" i="6" s="1"/>
  <c r="AP20" i="6"/>
  <c r="BR22" i="6"/>
  <c r="CN22" i="6" s="1"/>
  <c r="CO32" i="6"/>
  <c r="AA25" i="6"/>
  <c r="AW25" i="6" s="1"/>
  <c r="AX47" i="6"/>
  <c r="BL48" i="6"/>
  <c r="AX48" i="6" s="1"/>
  <c r="DH54" i="6"/>
  <c r="Y60" i="6"/>
  <c r="AG142" i="6"/>
  <c r="BB66" i="6"/>
  <c r="BR68" i="6"/>
  <c r="BQ92" i="6"/>
  <c r="BJ145" i="6"/>
  <c r="AB98" i="6"/>
  <c r="AB102" i="6"/>
  <c r="AA102" i="6" s="1"/>
  <c r="AW102" i="6" s="1"/>
  <c r="BM106" i="6"/>
  <c r="AV137" i="6"/>
  <c r="G123" i="6"/>
  <c r="BR123" i="6" s="1"/>
  <c r="CN123" i="6" s="1"/>
  <c r="AZ124" i="6"/>
  <c r="T133" i="6"/>
  <c r="T135" i="6" s="1"/>
  <c r="CH40" i="6"/>
  <c r="BS40" i="6" s="1"/>
  <c r="AA57" i="6"/>
  <c r="AW57" i="6" s="1"/>
  <c r="AA64" i="6"/>
  <c r="AW64" i="6" s="1"/>
  <c r="CO12" i="6"/>
  <c r="CG20" i="6"/>
  <c r="BR24" i="6"/>
  <c r="CN24" i="6" s="1"/>
  <c r="AA10" i="6"/>
  <c r="AW10" i="6" s="1"/>
  <c r="BR14" i="6"/>
  <c r="CN14" i="6" s="1"/>
  <c r="BH20" i="6"/>
  <c r="CY20" i="6"/>
  <c r="G6" i="6"/>
  <c r="AA6" i="6" s="1"/>
  <c r="AW6" i="6" s="1"/>
  <c r="AG20" i="6"/>
  <c r="BQ9" i="6"/>
  <c r="BX13" i="6"/>
  <c r="BS13" i="6" s="1"/>
  <c r="CS17" i="6"/>
  <c r="CM60" i="6"/>
  <c r="CO35" i="6"/>
  <c r="BR36" i="6"/>
  <c r="CN36" i="6" s="1"/>
  <c r="AX36" i="6"/>
  <c r="BL38" i="6"/>
  <c r="AX38" i="6" s="1"/>
  <c r="AB40" i="6"/>
  <c r="AZ50" i="6"/>
  <c r="AX50" i="6" s="1"/>
  <c r="BS50" i="6"/>
  <c r="DM50" i="6" s="1"/>
  <c r="AA69" i="6"/>
  <c r="AW69" i="6" s="1"/>
  <c r="AA70" i="6"/>
  <c r="AW70" i="6" s="1"/>
  <c r="BR73" i="6"/>
  <c r="CN73" i="6" s="1"/>
  <c r="CO83" i="6"/>
  <c r="BR92" i="6"/>
  <c r="CN92" i="6" s="1"/>
  <c r="BM96" i="6"/>
  <c r="DD97" i="6"/>
  <c r="AZ115" i="6"/>
  <c r="CM138" i="6"/>
  <c r="BB127" i="6"/>
  <c r="AX18" i="6"/>
  <c r="AA35" i="6"/>
  <c r="AW35" i="6" s="1"/>
  <c r="DD95" i="6"/>
  <c r="CO131" i="6"/>
  <c r="AA34" i="6"/>
  <c r="AW34" i="6" s="1"/>
  <c r="AX41" i="6"/>
  <c r="BR50" i="6"/>
  <c r="CN50" i="6" s="1"/>
  <c r="BR108" i="6"/>
  <c r="CN108" i="6" s="1"/>
  <c r="BR35" i="6"/>
  <c r="CN35" i="6" s="1"/>
  <c r="BS54" i="6"/>
  <c r="BR54" i="6" s="1"/>
  <c r="CN54" i="6" s="1"/>
  <c r="AA111" i="6"/>
  <c r="AW111" i="6" s="1"/>
  <c r="AZ118" i="6"/>
  <c r="BK126" i="6"/>
  <c r="CP20" i="6"/>
  <c r="BX20" i="6"/>
  <c r="BX139" i="6"/>
  <c r="BS9" i="6"/>
  <c r="BR9" i="6" s="1"/>
  <c r="CN9" i="6" s="1"/>
  <c r="BS15" i="6"/>
  <c r="BR15" i="6" s="1"/>
  <c r="CN15" i="6" s="1"/>
  <c r="AK135" i="6"/>
  <c r="AB32" i="6"/>
  <c r="BI43" i="6"/>
  <c r="AA47" i="6"/>
  <c r="AW47" i="6" s="1"/>
  <c r="AA55" i="6"/>
  <c r="AW55" i="6" s="1"/>
  <c r="BS56" i="6"/>
  <c r="DM56" i="6" s="1"/>
  <c r="BM93" i="6"/>
  <c r="AB68" i="6"/>
  <c r="AA68" i="6" s="1"/>
  <c r="AW68" i="6" s="1"/>
  <c r="BR72" i="6"/>
  <c r="CN72" i="6" s="1"/>
  <c r="CS72" i="6"/>
  <c r="BJ84" i="6"/>
  <c r="AX84" i="6" s="1"/>
  <c r="CS88" i="6"/>
  <c r="BR90" i="6"/>
  <c r="CN90" i="6" s="1"/>
  <c r="AB105" i="6"/>
  <c r="AA105" i="6" s="1"/>
  <c r="AW105" i="6" s="1"/>
  <c r="DD106" i="6"/>
  <c r="CO106" i="6" s="1"/>
  <c r="G117" i="6"/>
  <c r="G124" i="6"/>
  <c r="AA124" i="6" s="1"/>
  <c r="AW124" i="6" s="1"/>
  <c r="G126" i="6"/>
  <c r="G143" i="6" s="1"/>
  <c r="O137" i="6"/>
  <c r="CO129" i="6"/>
  <c r="BR116" i="6"/>
  <c r="DG137" i="6"/>
  <c r="BR128" i="6"/>
  <c r="AK144" i="6"/>
  <c r="AK146" i="6" s="1"/>
  <c r="CO125" i="6"/>
  <c r="AX118" i="6"/>
  <c r="AX131" i="6"/>
  <c r="CQ137" i="6"/>
  <c r="AY137" i="6"/>
  <c r="CT133" i="6"/>
  <c r="CO122" i="6"/>
  <c r="BR127" i="6"/>
  <c r="BB137" i="6"/>
  <c r="BJ137" i="6"/>
  <c r="AA120" i="6"/>
  <c r="AW120" i="6" s="1"/>
  <c r="CO123" i="6"/>
  <c r="AX129" i="6"/>
  <c r="AX102" i="6"/>
  <c r="AA96" i="6"/>
  <c r="AW96" i="6" s="1"/>
  <c r="CO99" i="6"/>
  <c r="BK113" i="6"/>
  <c r="CZ145" i="6"/>
  <c r="AA97" i="6"/>
  <c r="AW97" i="6" s="1"/>
  <c r="BH113" i="6"/>
  <c r="BR106" i="6"/>
  <c r="BO113" i="6"/>
  <c r="CO70" i="6"/>
  <c r="AX64" i="6"/>
  <c r="CO76" i="6"/>
  <c r="Y135" i="6"/>
  <c r="BS70" i="6"/>
  <c r="CO77" i="6"/>
  <c r="AX88" i="6"/>
  <c r="AA91" i="6"/>
  <c r="AW91" i="6" s="1"/>
  <c r="AD135" i="6"/>
  <c r="AX86" i="6"/>
  <c r="CG135" i="6"/>
  <c r="AX62" i="6"/>
  <c r="BE93" i="6"/>
  <c r="AA76" i="6"/>
  <c r="AW76" i="6" s="1"/>
  <c r="CO81" i="6"/>
  <c r="AA87" i="6"/>
  <c r="AW87" i="6" s="1"/>
  <c r="CO87" i="6"/>
  <c r="CB135" i="6"/>
  <c r="BR76" i="6"/>
  <c r="CN76" i="6" s="1"/>
  <c r="AI135" i="6"/>
  <c r="BR67" i="6"/>
  <c r="CN67" i="6" s="1"/>
  <c r="AA75" i="6"/>
  <c r="AW75" i="6" s="1"/>
  <c r="AA77" i="6"/>
  <c r="AW77" i="6" s="1"/>
  <c r="BR78" i="6"/>
  <c r="CN78" i="6" s="1"/>
  <c r="AX70" i="6"/>
  <c r="AJ144" i="6"/>
  <c r="AJ146" i="6" s="1"/>
  <c r="BZ144" i="6"/>
  <c r="BZ146" i="6" s="1"/>
  <c r="CO62" i="6"/>
  <c r="BR77" i="6"/>
  <c r="CN77" i="6" s="1"/>
  <c r="AA85" i="6"/>
  <c r="AW85" i="6" s="1"/>
  <c r="BD93" i="6"/>
  <c r="AX69" i="6"/>
  <c r="CO78" i="6"/>
  <c r="AJ135" i="6"/>
  <c r="BZ135" i="6"/>
  <c r="BV140" i="6"/>
  <c r="CO22" i="6"/>
  <c r="CO37" i="6"/>
  <c r="CO43" i="6"/>
  <c r="AA51" i="6"/>
  <c r="AW51" i="6" s="1"/>
  <c r="H144" i="6"/>
  <c r="H146" i="6" s="1"/>
  <c r="CO38" i="6"/>
  <c r="AA41" i="6"/>
  <c r="AW41" i="6" s="1"/>
  <c r="AA30" i="6"/>
  <c r="AW30" i="6" s="1"/>
  <c r="CO57" i="6"/>
  <c r="AA27" i="6"/>
  <c r="AW27" i="6" s="1"/>
  <c r="BR30" i="6"/>
  <c r="CN30" i="6" s="1"/>
  <c r="AX31" i="6"/>
  <c r="BR47" i="6"/>
  <c r="CN47" i="6" s="1"/>
  <c r="CO54" i="6"/>
  <c r="DF60" i="6"/>
  <c r="CO39" i="6"/>
  <c r="AA50" i="6"/>
  <c r="AW50" i="6" s="1"/>
  <c r="CO48" i="6"/>
  <c r="H135" i="6"/>
  <c r="BT135" i="6"/>
  <c r="BR27" i="6"/>
  <c r="CN27" i="6" s="1"/>
  <c r="AA29" i="6"/>
  <c r="AW29" i="6" s="1"/>
  <c r="BR37" i="6"/>
  <c r="CN37" i="6" s="1"/>
  <c r="AA39" i="6"/>
  <c r="AW39" i="6" s="1"/>
  <c r="AA44" i="6"/>
  <c r="AW44" i="6" s="1"/>
  <c r="BR48" i="6"/>
  <c r="CN48" i="6" s="1"/>
  <c r="AA54" i="6"/>
  <c r="AW54" i="6" s="1"/>
  <c r="R135" i="6"/>
  <c r="CU60" i="6"/>
  <c r="AX27" i="6"/>
  <c r="BR29" i="6"/>
  <c r="CN29" i="6" s="1"/>
  <c r="AX43" i="6"/>
  <c r="AX57" i="6"/>
  <c r="BT144" i="6"/>
  <c r="BT146" i="6" s="1"/>
  <c r="AX6" i="6"/>
  <c r="DF20" i="6"/>
  <c r="CB144" i="6"/>
  <c r="CB146" i="6" s="1"/>
  <c r="AX15" i="6"/>
  <c r="CV139" i="6"/>
  <c r="DD139" i="6"/>
  <c r="CI144" i="6"/>
  <c r="AX11" i="6"/>
  <c r="DC20" i="6"/>
  <c r="BC139" i="6"/>
  <c r="BK139" i="6"/>
  <c r="AL144" i="6"/>
  <c r="AL146" i="6" s="1"/>
  <c r="AD144" i="6"/>
  <c r="AD146" i="6" s="1"/>
  <c r="AX4" i="6"/>
  <c r="AX13" i="6"/>
  <c r="X144" i="6"/>
  <c r="X146" i="6" s="1"/>
  <c r="CX20" i="6"/>
  <c r="DG20" i="6"/>
  <c r="BE20" i="6"/>
  <c r="Y144" i="6"/>
  <c r="Y146" i="6" s="1"/>
  <c r="AC144" i="6"/>
  <c r="AC146" i="6" s="1"/>
  <c r="CU20" i="6"/>
  <c r="CO11" i="6"/>
  <c r="AA17" i="6"/>
  <c r="AW17" i="6" s="1"/>
  <c r="BO20" i="6"/>
  <c r="CV20" i="6"/>
  <c r="DD20" i="6"/>
  <c r="BR12" i="6"/>
  <c r="CN12" i="6" s="1"/>
  <c r="CO14" i="6"/>
  <c r="BM20" i="6"/>
  <c r="O144" i="6"/>
  <c r="O146" i="6" s="1"/>
  <c r="BA139" i="6"/>
  <c r="BA20" i="6"/>
  <c r="BI20" i="6"/>
  <c r="CO10" i="6"/>
  <c r="AA11" i="6"/>
  <c r="AW11" i="6" s="1"/>
  <c r="AR144" i="6"/>
  <c r="AX40" i="6"/>
  <c r="CX140" i="6"/>
  <c r="CX60" i="6"/>
  <c r="AA4" i="6"/>
  <c r="AW4" i="6" s="1"/>
  <c r="K139" i="6"/>
  <c r="G8" i="6"/>
  <c r="G139" i="6" s="1"/>
  <c r="BB8" i="6"/>
  <c r="BK60" i="6"/>
  <c r="CO30" i="6"/>
  <c r="DH40" i="6"/>
  <c r="G40" i="6"/>
  <c r="AA40" i="6" s="1"/>
  <c r="AW40" i="6" s="1"/>
  <c r="BQ40" i="6"/>
  <c r="BC142" i="6"/>
  <c r="BC93" i="6"/>
  <c r="AX61" i="6"/>
  <c r="BK142" i="6"/>
  <c r="BK93" i="6"/>
  <c r="BQ104" i="6"/>
  <c r="G104" i="6"/>
  <c r="DH104" i="6"/>
  <c r="CY141" i="6"/>
  <c r="BQ7" i="6"/>
  <c r="AX7" i="6" s="1"/>
  <c r="G7" i="6"/>
  <c r="AA7" i="6" s="1"/>
  <c r="AW7" i="6" s="1"/>
  <c r="DH7" i="6"/>
  <c r="CO7" i="6" s="1"/>
  <c r="AV139" i="6"/>
  <c r="AB9" i="6"/>
  <c r="AA9" i="6" s="1"/>
  <c r="AW9" i="6" s="1"/>
  <c r="G13" i="6"/>
  <c r="BR13" i="6" s="1"/>
  <c r="CN13" i="6" s="1"/>
  <c r="DH13" i="6"/>
  <c r="BY141" i="6"/>
  <c r="CT13" i="6"/>
  <c r="CT141" i="6" s="1"/>
  <c r="CS18" i="6"/>
  <c r="CO18" i="6" s="1"/>
  <c r="G18" i="6"/>
  <c r="AA18" i="6" s="1"/>
  <c r="AW18" i="6" s="1"/>
  <c r="CO29" i="6"/>
  <c r="AX37" i="6"/>
  <c r="CW93" i="6"/>
  <c r="CS74" i="6"/>
  <c r="CO74" i="6" s="1"/>
  <c r="G74" i="6"/>
  <c r="AA74" i="6" s="1"/>
  <c r="AW74" i="6" s="1"/>
  <c r="BB74" i="6"/>
  <c r="AX74" i="6" s="1"/>
  <c r="AY113" i="6"/>
  <c r="CW20" i="6"/>
  <c r="DG141" i="6"/>
  <c r="BL139" i="6"/>
  <c r="CZ139" i="6"/>
  <c r="AY141" i="6"/>
  <c r="AY20" i="6"/>
  <c r="K141" i="6"/>
  <c r="BB5" i="6"/>
  <c r="CS5" i="6"/>
  <c r="AG139" i="6"/>
  <c r="CS8" i="6"/>
  <c r="CS139" i="6" s="1"/>
  <c r="AH141" i="6"/>
  <c r="AB13" i="6"/>
  <c r="DH16" i="6"/>
  <c r="CO16" i="6" s="1"/>
  <c r="G16" i="6"/>
  <c r="BB17" i="6"/>
  <c r="AX17" i="6" s="1"/>
  <c r="DH19" i="6"/>
  <c r="CO19" i="6" s="1"/>
  <c r="BQ19" i="6"/>
  <c r="G19" i="6"/>
  <c r="BR19" i="6" s="1"/>
  <c r="CN19" i="6" s="1"/>
  <c r="BF140" i="6"/>
  <c r="BF60" i="6"/>
  <c r="DB140" i="6"/>
  <c r="DB60" i="6"/>
  <c r="BE60" i="6"/>
  <c r="AA24" i="6"/>
  <c r="AW24" i="6" s="1"/>
  <c r="BS34" i="6"/>
  <c r="BR34" i="6" s="1"/>
  <c r="CN34" i="6" s="1"/>
  <c r="DC34" i="6"/>
  <c r="CO34" i="6" s="1"/>
  <c r="CO46" i="6"/>
  <c r="BS91" i="6"/>
  <c r="BR91" i="6" s="1"/>
  <c r="CN91" i="6" s="1"/>
  <c r="DA91" i="6"/>
  <c r="CP141" i="6"/>
  <c r="CO4" i="6"/>
  <c r="CM141" i="6"/>
  <c r="BS5" i="6"/>
  <c r="AA12" i="6"/>
  <c r="AW12" i="6" s="1"/>
  <c r="BO141" i="6"/>
  <c r="AE139" i="6"/>
  <c r="AE20" i="6"/>
  <c r="AB8" i="6"/>
  <c r="AA8" i="6" s="1"/>
  <c r="AW8" i="6" s="1"/>
  <c r="CS140" i="6"/>
  <c r="CS60" i="6"/>
  <c r="BG140" i="6"/>
  <c r="BG60" i="6"/>
  <c r="AN140" i="6"/>
  <c r="AN144" i="6" s="1"/>
  <c r="AN146" i="6" s="1"/>
  <c r="AN60" i="6"/>
  <c r="BI30" i="6"/>
  <c r="AX30" i="6" s="1"/>
  <c r="AX32" i="6"/>
  <c r="DE140" i="6"/>
  <c r="DE144" i="6" s="1"/>
  <c r="DE146" i="6" s="1"/>
  <c r="DE60" i="6"/>
  <c r="DE135" i="6" s="1"/>
  <c r="BL52" i="6"/>
  <c r="DC52" i="6"/>
  <c r="BQ67" i="6"/>
  <c r="AX67" i="6" s="1"/>
  <c r="AB67" i="6"/>
  <c r="AA67" i="6" s="1"/>
  <c r="AW67" i="6" s="1"/>
  <c r="AY93" i="6"/>
  <c r="DH115" i="6"/>
  <c r="Z133" i="6"/>
  <c r="Z137" i="6"/>
  <c r="BQ115" i="6"/>
  <c r="AX122" i="6"/>
  <c r="BB138" i="6"/>
  <c r="BJ141" i="6"/>
  <c r="BJ20" i="6"/>
  <c r="AV141" i="6"/>
  <c r="AV20" i="6"/>
  <c r="BQ5" i="6"/>
  <c r="CO6" i="6"/>
  <c r="BL45" i="6"/>
  <c r="AX45" i="6" s="1"/>
  <c r="DC45" i="6"/>
  <c r="CO45" i="6" s="1"/>
  <c r="G45" i="6"/>
  <c r="BL49" i="6"/>
  <c r="AX49" i="6" s="1"/>
  <c r="AB49" i="6"/>
  <c r="AA49" i="6" s="1"/>
  <c r="AW49" i="6" s="1"/>
  <c r="CP140" i="6"/>
  <c r="CO21" i="6"/>
  <c r="CP60" i="6"/>
  <c r="CO31" i="6"/>
  <c r="CL140" i="6"/>
  <c r="CL144" i="6" s="1"/>
  <c r="CL146" i="6" s="1"/>
  <c r="CL60" i="6"/>
  <c r="CL135" i="6" s="1"/>
  <c r="DG41" i="6"/>
  <c r="DG60" i="6" s="1"/>
  <c r="BS41" i="6"/>
  <c r="BP133" i="6"/>
  <c r="BP137" i="6"/>
  <c r="CV137" i="6"/>
  <c r="CV133" i="6"/>
  <c r="BQ119" i="6"/>
  <c r="CX141" i="6"/>
  <c r="BD139" i="6"/>
  <c r="CF141" i="6"/>
  <c r="CF20" i="6"/>
  <c r="BF141" i="6"/>
  <c r="I141" i="6"/>
  <c r="AZ5" i="6"/>
  <c r="AZ141" i="6" s="1"/>
  <c r="I20" i="6"/>
  <c r="G5" i="6"/>
  <c r="CR139" i="6"/>
  <c r="DA140" i="6"/>
  <c r="DA60" i="6"/>
  <c r="AB90" i="6"/>
  <c r="AA90" i="6" s="1"/>
  <c r="AW90" i="6" s="1"/>
  <c r="BB90" i="6"/>
  <c r="BG141" i="6"/>
  <c r="BG20" i="6"/>
  <c r="BP141" i="6"/>
  <c r="BP20" i="6"/>
  <c r="DA141" i="6"/>
  <c r="DA20" i="6"/>
  <c r="CQ5" i="6"/>
  <c r="CQ141" i="6" s="1"/>
  <c r="CZ20" i="6"/>
  <c r="DA139" i="6"/>
  <c r="AX9" i="6"/>
  <c r="CQ9" i="6"/>
  <c r="CO9" i="6" s="1"/>
  <c r="BR11" i="6"/>
  <c r="CN11" i="6" s="1"/>
  <c r="AX12" i="6"/>
  <c r="Z20" i="6"/>
  <c r="CR20" i="6"/>
  <c r="BS6" i="6"/>
  <c r="BR6" i="6" s="1"/>
  <c r="CN6" i="6" s="1"/>
  <c r="CS6" i="6"/>
  <c r="BH139" i="6"/>
  <c r="CS15" i="6"/>
  <c r="CO15" i="6" s="1"/>
  <c r="CM20" i="6"/>
  <c r="BA141" i="6"/>
  <c r="BI141" i="6"/>
  <c r="BR4" i="6"/>
  <c r="CN4" i="6" s="1"/>
  <c r="AG141" i="6"/>
  <c r="AB5" i="6"/>
  <c r="AZ8" i="6"/>
  <c r="BI139" i="6"/>
  <c r="BS8" i="6"/>
  <c r="BR8" i="6" s="1"/>
  <c r="CN8" i="6" s="1"/>
  <c r="CU139" i="6"/>
  <c r="DC139" i="6"/>
  <c r="BB10" i="6"/>
  <c r="AX10" i="6" s="1"/>
  <c r="BB19" i="6"/>
  <c r="AB19" i="6"/>
  <c r="AS135" i="6"/>
  <c r="BF20" i="6"/>
  <c r="AY140" i="6"/>
  <c r="AY60" i="6"/>
  <c r="CO27" i="6"/>
  <c r="U140" i="6"/>
  <c r="U144" i="6" s="1"/>
  <c r="U60" i="6"/>
  <c r="BL28" i="6"/>
  <c r="AX28" i="6" s="1"/>
  <c r="G28" i="6"/>
  <c r="AA28" i="6" s="1"/>
  <c r="AW28" i="6" s="1"/>
  <c r="DC28" i="6"/>
  <c r="DH33" i="6"/>
  <c r="CO33" i="6" s="1"/>
  <c r="AX35" i="6"/>
  <c r="BY140" i="6"/>
  <c r="BY60" i="6"/>
  <c r="BR89" i="6"/>
  <c r="CN89" i="6" s="1"/>
  <c r="AA129" i="6"/>
  <c r="AW129" i="6" s="1"/>
  <c r="BR129" i="6"/>
  <c r="CN129" i="6" s="1"/>
  <c r="AE140" i="6"/>
  <c r="BD140" i="6"/>
  <c r="BD60" i="6"/>
  <c r="CY140" i="6"/>
  <c r="CY60" i="6"/>
  <c r="CJ140" i="6"/>
  <c r="CJ144" i="6" s="1"/>
  <c r="CJ146" i="6" s="1"/>
  <c r="CJ60" i="6"/>
  <c r="CJ135" i="6" s="1"/>
  <c r="AO140" i="6"/>
  <c r="CO47" i="6"/>
  <c r="CO55" i="6"/>
  <c r="CX142" i="6"/>
  <c r="CX93" i="6"/>
  <c r="DG142" i="6"/>
  <c r="AX77" i="6"/>
  <c r="N133" i="6"/>
  <c r="BE114" i="6"/>
  <c r="N137" i="6"/>
  <c r="N144" i="6" s="1"/>
  <c r="N146" i="6" s="1"/>
  <c r="BL137" i="6"/>
  <c r="BL133" i="6"/>
  <c r="DC137" i="6"/>
  <c r="BH141" i="6"/>
  <c r="CR141" i="6"/>
  <c r="CZ141" i="6"/>
  <c r="BJ139" i="6"/>
  <c r="BV139" i="6"/>
  <c r="BS139" i="6" s="1"/>
  <c r="DM142" i="6" s="1"/>
  <c r="CT139" i="6"/>
  <c r="DB139" i="6"/>
  <c r="BE140" i="6"/>
  <c r="BM60" i="6"/>
  <c r="CR140" i="6"/>
  <c r="CR60" i="6"/>
  <c r="CZ140" i="6"/>
  <c r="CZ60" i="6"/>
  <c r="AV140" i="6"/>
  <c r="AV60" i="6"/>
  <c r="CQ23" i="6"/>
  <c r="CO23" i="6" s="1"/>
  <c r="Z140" i="6"/>
  <c r="G32" i="6"/>
  <c r="BR32" i="6" s="1"/>
  <c r="CN32" i="6" s="1"/>
  <c r="BQ33" i="6"/>
  <c r="AX33" i="6" s="1"/>
  <c r="G52" i="6"/>
  <c r="BR52" i="6" s="1"/>
  <c r="CN52" i="6" s="1"/>
  <c r="CQ52" i="6"/>
  <c r="CQ56" i="6"/>
  <c r="CO56" i="6" s="1"/>
  <c r="G56" i="6"/>
  <c r="AA56" i="6" s="1"/>
  <c r="AW56" i="6" s="1"/>
  <c r="AZ56" i="6"/>
  <c r="AX56" i="6" s="1"/>
  <c r="BQ59" i="6"/>
  <c r="AX59" i="6" s="1"/>
  <c r="DH59" i="6"/>
  <c r="CO59" i="6" s="1"/>
  <c r="Z60" i="6"/>
  <c r="Z142" i="6"/>
  <c r="DH61" i="6"/>
  <c r="G61" i="6"/>
  <c r="Z93" i="6"/>
  <c r="BQ61" i="6"/>
  <c r="CP142" i="6"/>
  <c r="CP93" i="6"/>
  <c r="CS86" i="6"/>
  <c r="BS86" i="6"/>
  <c r="BR86" i="6" s="1"/>
  <c r="CN86" i="6" s="1"/>
  <c r="AG93" i="6"/>
  <c r="CR142" i="6"/>
  <c r="CT113" i="6"/>
  <c r="BM104" i="6"/>
  <c r="AX104" i="6" s="1"/>
  <c r="AB104" i="6"/>
  <c r="AA104" i="6" s="1"/>
  <c r="AW104" i="6" s="1"/>
  <c r="BQ121" i="6"/>
  <c r="Z138" i="6"/>
  <c r="DC141" i="6"/>
  <c r="BM139" i="6"/>
  <c r="DF139" i="6"/>
  <c r="CU140" i="6"/>
  <c r="CF140" i="6"/>
  <c r="CF60" i="6"/>
  <c r="BS39" i="6"/>
  <c r="BR39" i="6" s="1"/>
  <c r="CN39" i="6" s="1"/>
  <c r="AA46" i="6"/>
  <c r="AW46" i="6" s="1"/>
  <c r="BQ53" i="6"/>
  <c r="AX53" i="6" s="1"/>
  <c r="DH53" i="6"/>
  <c r="CO53" i="6" s="1"/>
  <c r="BR59" i="6"/>
  <c r="AE60" i="6"/>
  <c r="AO60" i="6"/>
  <c r="CE60" i="6"/>
  <c r="AV142" i="6"/>
  <c r="AV93" i="6"/>
  <c r="AA72" i="6"/>
  <c r="AW72" i="6" s="1"/>
  <c r="BB73" i="6"/>
  <c r="CS73" i="6"/>
  <c r="CO73" i="6" s="1"/>
  <c r="AX80" i="6"/>
  <c r="AX82" i="6"/>
  <c r="CO85" i="6"/>
  <c r="AY145" i="6"/>
  <c r="BG145" i="6"/>
  <c r="BM97" i="6"/>
  <c r="AX97" i="6" s="1"/>
  <c r="Z145" i="6"/>
  <c r="Z113" i="6"/>
  <c r="DH98" i="6"/>
  <c r="BQ98" i="6"/>
  <c r="CM113" i="6"/>
  <c r="CI104" i="6"/>
  <c r="CI145" i="6" s="1"/>
  <c r="CI146" i="6" s="1"/>
  <c r="AX107" i="6"/>
  <c r="BG113" i="6"/>
  <c r="CD137" i="6"/>
  <c r="CD144" i="6" s="1"/>
  <c r="CD146" i="6" s="1"/>
  <c r="CD133" i="6"/>
  <c r="CD135" i="6" s="1"/>
  <c r="CE140" i="6"/>
  <c r="BC141" i="6"/>
  <c r="BK141" i="6"/>
  <c r="Z141" i="6"/>
  <c r="BE139" i="6"/>
  <c r="CW139" i="6"/>
  <c r="CA135" i="6"/>
  <c r="BH140" i="6"/>
  <c r="BH60" i="6"/>
  <c r="BD141" i="6"/>
  <c r="CV141" i="6"/>
  <c r="BF139" i="6"/>
  <c r="BP139" i="6"/>
  <c r="CX139" i="6"/>
  <c r="DG139" i="6"/>
  <c r="AM135" i="6"/>
  <c r="CK135" i="6"/>
  <c r="BV60" i="6"/>
  <c r="CV140" i="6"/>
  <c r="CV60" i="6"/>
  <c r="DD140" i="6"/>
  <c r="DD60" i="6"/>
  <c r="I140" i="6"/>
  <c r="G23" i="6"/>
  <c r="BR23" i="6" s="1"/>
  <c r="CN23" i="6" s="1"/>
  <c r="AZ23" i="6"/>
  <c r="AX23" i="6" s="1"/>
  <c r="BP140" i="6"/>
  <c r="BP60" i="6"/>
  <c r="BJ39" i="6"/>
  <c r="AX39" i="6" s="1"/>
  <c r="AX51" i="6"/>
  <c r="AA53" i="6"/>
  <c r="AW53" i="6" s="1"/>
  <c r="BF142" i="6"/>
  <c r="BF93" i="6"/>
  <c r="BP142" i="6"/>
  <c r="BP93" i="6"/>
  <c r="DC142" i="6"/>
  <c r="DD93" i="6"/>
  <c r="BR70" i="6"/>
  <c r="CN70" i="6" s="1"/>
  <c r="AA86" i="6"/>
  <c r="AW86" i="6" s="1"/>
  <c r="I145" i="6"/>
  <c r="AZ109" i="6"/>
  <c r="G109" i="6"/>
  <c r="AA109" i="6" s="1"/>
  <c r="AW109" i="6" s="1"/>
  <c r="I113" i="6"/>
  <c r="BK133" i="6"/>
  <c r="AE138" i="6"/>
  <c r="AB117" i="6"/>
  <c r="AA117" i="6" s="1"/>
  <c r="AW117" i="6" s="1"/>
  <c r="BP138" i="6"/>
  <c r="AX55" i="6"/>
  <c r="L140" i="6"/>
  <c r="G58" i="6"/>
  <c r="AA58" i="6" s="1"/>
  <c r="AW58" i="6" s="1"/>
  <c r="CT58" i="6"/>
  <c r="CT140" i="6" s="1"/>
  <c r="BC58" i="6"/>
  <c r="BC140" i="6" s="1"/>
  <c r="BS66" i="6"/>
  <c r="BR66" i="6" s="1"/>
  <c r="CN66" i="6" s="1"/>
  <c r="BX93" i="6"/>
  <c r="CE66" i="6"/>
  <c r="BF145" i="6"/>
  <c r="BF113" i="6"/>
  <c r="G98" i="6"/>
  <c r="BM98" i="6"/>
  <c r="DD98" i="6"/>
  <c r="AA110" i="6"/>
  <c r="AW110" i="6" s="1"/>
  <c r="BR110" i="6"/>
  <c r="CN110" i="6" s="1"/>
  <c r="BD137" i="6"/>
  <c r="BD133" i="6"/>
  <c r="CU141" i="6"/>
  <c r="DB13" i="6"/>
  <c r="DB141" i="6" s="1"/>
  <c r="AZ21" i="6"/>
  <c r="AQ140" i="6"/>
  <c r="AQ144" i="6" s="1"/>
  <c r="AQ60" i="6"/>
  <c r="BL26" i="6"/>
  <c r="BL141" i="6"/>
  <c r="DD141" i="6"/>
  <c r="CP139" i="6"/>
  <c r="AU135" i="6"/>
  <c r="BC20" i="6"/>
  <c r="BK20" i="6"/>
  <c r="BA140" i="6"/>
  <c r="BA60" i="6"/>
  <c r="BE141" i="6"/>
  <c r="BM140" i="6"/>
  <c r="CW141" i="6"/>
  <c r="DF141" i="6"/>
  <c r="I139" i="6"/>
  <c r="AY139" i="6"/>
  <c r="BG139" i="6"/>
  <c r="CQ8" i="6"/>
  <c r="CY139" i="6"/>
  <c r="N135" i="6"/>
  <c r="AF135" i="6"/>
  <c r="BD20" i="6"/>
  <c r="BL20" i="6"/>
  <c r="CC135" i="6"/>
  <c r="BB140" i="6"/>
  <c r="BB60" i="6"/>
  <c r="CW60" i="6"/>
  <c r="AX22" i="6"/>
  <c r="BL44" i="6"/>
  <c r="AX44" i="6" s="1"/>
  <c r="AX46" i="6"/>
  <c r="AH140" i="6"/>
  <c r="AH60" i="6"/>
  <c r="BO142" i="6"/>
  <c r="BO93" i="6"/>
  <c r="S142" i="6"/>
  <c r="S144" i="6" s="1"/>
  <c r="S146" i="6" s="1"/>
  <c r="BJ65" i="6"/>
  <c r="S93" i="6"/>
  <c r="S135" i="6" s="1"/>
  <c r="AX71" i="6"/>
  <c r="AX72" i="6"/>
  <c r="BS75" i="6"/>
  <c r="DH75" i="6"/>
  <c r="CO75" i="6" s="1"/>
  <c r="AX76" i="6"/>
  <c r="BS79" i="6"/>
  <c r="CS79" i="6"/>
  <c r="CO79" i="6" s="1"/>
  <c r="CS90" i="6"/>
  <c r="CO92" i="6"/>
  <c r="BI113" i="6"/>
  <c r="DF113" i="6"/>
  <c r="DB113" i="6"/>
  <c r="DG113" i="6"/>
  <c r="AB116" i="6"/>
  <c r="AA116" i="6" s="1"/>
  <c r="AW116" i="6" s="1"/>
  <c r="AF137" i="6"/>
  <c r="AF144" i="6" s="1"/>
  <c r="AF146" i="6" s="1"/>
  <c r="BF138" i="6"/>
  <c r="BO143" i="6"/>
  <c r="BO133" i="6"/>
  <c r="BN139" i="6"/>
  <c r="W140" i="6"/>
  <c r="W144" i="6" s="1"/>
  <c r="W146" i="6" s="1"/>
  <c r="W60" i="6"/>
  <c r="W135" i="6" s="1"/>
  <c r="CQ51" i="6"/>
  <c r="CO51" i="6" s="1"/>
  <c r="BR57" i="6"/>
  <c r="CN57" i="6" s="1"/>
  <c r="AH142" i="6"/>
  <c r="AH93" i="6"/>
  <c r="BD142" i="6"/>
  <c r="BL142" i="6"/>
  <c r="CQ142" i="6"/>
  <c r="CY142" i="6"/>
  <c r="CY93" i="6"/>
  <c r="AA73" i="6"/>
  <c r="AW73" i="6" s="1"/>
  <c r="DA82" i="6"/>
  <c r="CO82" i="6" s="1"/>
  <c r="BR84" i="6"/>
  <c r="CN84" i="6" s="1"/>
  <c r="CO88" i="6"/>
  <c r="CO91" i="6"/>
  <c r="CV145" i="6"/>
  <c r="CV113" i="6"/>
  <c r="CO97" i="6"/>
  <c r="BR100" i="6"/>
  <c r="CN100" i="6" s="1"/>
  <c r="AB103" i="6"/>
  <c r="BL103" i="6"/>
  <c r="CO108" i="6"/>
  <c r="DC109" i="6"/>
  <c r="CO109" i="6" s="1"/>
  <c r="BL109" i="6"/>
  <c r="U113" i="6"/>
  <c r="BD138" i="6"/>
  <c r="G121" i="6"/>
  <c r="BR121" i="6" s="1"/>
  <c r="AZ121" i="6"/>
  <c r="CO50" i="6"/>
  <c r="AY142" i="6"/>
  <c r="BG142" i="6"/>
  <c r="DB142" i="6"/>
  <c r="DB93" i="6"/>
  <c r="AB62" i="6"/>
  <c r="AA62" i="6" s="1"/>
  <c r="AW62" i="6" s="1"/>
  <c r="AA65" i="6"/>
  <c r="AW65" i="6" s="1"/>
  <c r="AX78" i="6"/>
  <c r="AX81" i="6"/>
  <c r="AB83" i="6"/>
  <c r="AA83" i="6" s="1"/>
  <c r="AW83" i="6" s="1"/>
  <c r="BB83" i="6"/>
  <c r="AX83" i="6" s="1"/>
  <c r="AX85" i="6"/>
  <c r="CO86" i="6"/>
  <c r="AA89" i="6"/>
  <c r="AW89" i="6" s="1"/>
  <c r="CO89" i="6"/>
  <c r="AA92" i="6"/>
  <c r="AW92" i="6" s="1"/>
  <c r="BG93" i="6"/>
  <c r="CQ93" i="6"/>
  <c r="CO101" i="6"/>
  <c r="BS102" i="6"/>
  <c r="BR102" i="6" s="1"/>
  <c r="CN102" i="6" s="1"/>
  <c r="AZ112" i="6"/>
  <c r="AX112" i="6" s="1"/>
  <c r="AB112" i="6"/>
  <c r="AA112" i="6" s="1"/>
  <c r="AW112" i="6" s="1"/>
  <c r="CW138" i="6"/>
  <c r="DG138" i="6"/>
  <c r="AZ93" i="6"/>
  <c r="BH93" i="6"/>
  <c r="BY142" i="6"/>
  <c r="BY93" i="6"/>
  <c r="BS61" i="6"/>
  <c r="CU142" i="6"/>
  <c r="DC93" i="6"/>
  <c r="AB63" i="6"/>
  <c r="AA63" i="6" s="1"/>
  <c r="AW63" i="6" s="1"/>
  <c r="BQ63" i="6"/>
  <c r="AX63" i="6" s="1"/>
  <c r="CS66" i="6"/>
  <c r="CO69" i="6"/>
  <c r="AX79" i="6"/>
  <c r="CO80" i="6"/>
  <c r="BQ90" i="6"/>
  <c r="DH90" i="6"/>
  <c r="BJ91" i="6"/>
  <c r="AX91" i="6" s="1"/>
  <c r="CU93" i="6"/>
  <c r="CR145" i="6"/>
  <c r="CR113" i="6"/>
  <c r="CO95" i="6"/>
  <c r="CZ113" i="6"/>
  <c r="AX99" i="6"/>
  <c r="P137" i="6"/>
  <c r="P144" i="6" s="1"/>
  <c r="P146" i="6" s="1"/>
  <c r="P133" i="6"/>
  <c r="P135" i="6" s="1"/>
  <c r="CX115" i="6"/>
  <c r="CX137" i="6" s="1"/>
  <c r="G115" i="6"/>
  <c r="BG115" i="6"/>
  <c r="BG137" i="6" s="1"/>
  <c r="DF133" i="6"/>
  <c r="AY138" i="6"/>
  <c r="CX138" i="6"/>
  <c r="AT143" i="6"/>
  <c r="AT144" i="6" s="1"/>
  <c r="AT146" i="6" s="1"/>
  <c r="AT133" i="6"/>
  <c r="AT135" i="6" s="1"/>
  <c r="BK140" i="6"/>
  <c r="CW140" i="6"/>
  <c r="DF140" i="6"/>
  <c r="CH140" i="6"/>
  <c r="CH144" i="6" s="1"/>
  <c r="DC26" i="6"/>
  <c r="CO26" i="6" s="1"/>
  <c r="CM140" i="6"/>
  <c r="BN34" i="6"/>
  <c r="AX34" i="6" s="1"/>
  <c r="AU140" i="6"/>
  <c r="AU144" i="6" s="1"/>
  <c r="AU146" i="6" s="1"/>
  <c r="BQ42" i="6"/>
  <c r="AX42" i="6" s="1"/>
  <c r="CO49" i="6"/>
  <c r="CH58" i="6"/>
  <c r="DC58" i="6" s="1"/>
  <c r="CQ58" i="6"/>
  <c r="CO58" i="6" s="1"/>
  <c r="L142" i="6"/>
  <c r="L93" i="6"/>
  <c r="L135" i="6" s="1"/>
  <c r="BA93" i="6"/>
  <c r="CM142" i="6"/>
  <c r="CV142" i="6"/>
  <c r="DD142" i="6"/>
  <c r="AX68" i="6"/>
  <c r="CO71" i="6"/>
  <c r="CO72" i="6"/>
  <c r="CO84" i="6"/>
  <c r="AX89" i="6"/>
  <c r="AX92" i="6"/>
  <c r="AN93" i="6"/>
  <c r="BL93" i="6"/>
  <c r="CV93" i="6"/>
  <c r="AR145" i="6"/>
  <c r="AR113" i="6"/>
  <c r="AR135" i="6" s="1"/>
  <c r="AB95" i="6"/>
  <c r="BP113" i="6"/>
  <c r="CS145" i="6"/>
  <c r="CS113" i="6"/>
  <c r="DA113" i="6"/>
  <c r="DA145" i="6"/>
  <c r="CP113" i="6"/>
  <c r="CX113" i="6"/>
  <c r="CO102" i="6"/>
  <c r="DD107" i="6"/>
  <c r="CO107" i="6" s="1"/>
  <c r="BS107" i="6"/>
  <c r="DA133" i="6"/>
  <c r="BS115" i="6"/>
  <c r="BW137" i="6"/>
  <c r="BW144" i="6" s="1"/>
  <c r="BW146" i="6" s="1"/>
  <c r="CR115" i="6"/>
  <c r="BW133" i="6"/>
  <c r="BW135" i="6" s="1"/>
  <c r="AX123" i="6"/>
  <c r="BK143" i="6"/>
  <c r="AX126" i="6"/>
  <c r="BE142" i="6"/>
  <c r="BM141" i="6"/>
  <c r="CW142" i="6"/>
  <c r="DF142" i="6"/>
  <c r="DF93" i="6"/>
  <c r="DA64" i="6"/>
  <c r="CO64" i="6" s="1"/>
  <c r="K142" i="6"/>
  <c r="BH145" i="6"/>
  <c r="BS95" i="6"/>
  <c r="CU145" i="6"/>
  <c r="CU113" i="6"/>
  <c r="CH145" i="6"/>
  <c r="DC100" i="6"/>
  <c r="BM137" i="6"/>
  <c r="BM142" i="6"/>
  <c r="BM133" i="6"/>
  <c r="CU133" i="6"/>
  <c r="CU135" i="6" s="1"/>
  <c r="CU137" i="6"/>
  <c r="DD137" i="6"/>
  <c r="DD133" i="6"/>
  <c r="CC137" i="6"/>
  <c r="CC144" i="6" s="1"/>
  <c r="CC146" i="6" s="1"/>
  <c r="CC133" i="6"/>
  <c r="DF138" i="6"/>
  <c r="AX120" i="6"/>
  <c r="AO138" i="6"/>
  <c r="AO133" i="6"/>
  <c r="AB125" i="6"/>
  <c r="AA125" i="6" s="1"/>
  <c r="AW125" i="6" s="1"/>
  <c r="BJ125" i="6"/>
  <c r="BJ133" i="6" s="1"/>
  <c r="CG143" i="6"/>
  <c r="BS143" i="6" s="1"/>
  <c r="BS126" i="6"/>
  <c r="DH132" i="6"/>
  <c r="CO132" i="6" s="1"/>
  <c r="BQ132" i="6"/>
  <c r="BQ139" i="6" s="1"/>
  <c r="K93" i="6"/>
  <c r="CR93" i="6"/>
  <c r="V145" i="6"/>
  <c r="V113" i="6"/>
  <c r="V135" i="6" s="1"/>
  <c r="BM95" i="6"/>
  <c r="BJ113" i="6"/>
  <c r="CW145" i="6"/>
  <c r="DF145" i="6"/>
  <c r="AX96" i="6"/>
  <c r="AV113" i="6"/>
  <c r="G103" i="6"/>
  <c r="BR103" i="6" s="1"/>
  <c r="CN103" i="6" s="1"/>
  <c r="BM103" i="6"/>
  <c r="DD103" i="6"/>
  <c r="CO103" i="6" s="1"/>
  <c r="DH105" i="6"/>
  <c r="CO105" i="6" s="1"/>
  <c r="BQ105" i="6"/>
  <c r="AX105" i="6" s="1"/>
  <c r="AE145" i="6"/>
  <c r="AB106" i="6"/>
  <c r="AA106" i="6" s="1"/>
  <c r="AW106" i="6" s="1"/>
  <c r="AE113" i="6"/>
  <c r="I133" i="6"/>
  <c r="G114" i="6"/>
  <c r="AZ114" i="6"/>
  <c r="I137" i="6"/>
  <c r="AE137" i="6"/>
  <c r="AE133" i="6"/>
  <c r="BV137" i="6"/>
  <c r="BV133" i="6"/>
  <c r="BS114" i="6"/>
  <c r="DM114" i="6" s="1"/>
  <c r="BJ138" i="6"/>
  <c r="G118" i="6"/>
  <c r="BR118" i="6" s="1"/>
  <c r="CN118" i="6" s="1"/>
  <c r="CQ118" i="6"/>
  <c r="BS120" i="6"/>
  <c r="CQ120" i="6"/>
  <c r="CO120" i="6" s="1"/>
  <c r="CS130" i="6"/>
  <c r="CO130" i="6" s="1"/>
  <c r="BS130" i="6"/>
  <c r="DF137" i="6"/>
  <c r="AZ142" i="6"/>
  <c r="BH142" i="6"/>
  <c r="AO142" i="6"/>
  <c r="BX142" i="6"/>
  <c r="CZ66" i="6"/>
  <c r="BC145" i="6"/>
  <c r="BK145" i="6"/>
  <c r="BM101" i="6"/>
  <c r="AX101" i="6" s="1"/>
  <c r="G101" i="6"/>
  <c r="AG145" i="6"/>
  <c r="AG113" i="6"/>
  <c r="BB106" i="6"/>
  <c r="AX106" i="6" s="1"/>
  <c r="BR112" i="6"/>
  <c r="CN112" i="6" s="1"/>
  <c r="BC113" i="6"/>
  <c r="CW113" i="6"/>
  <c r="CM133" i="6"/>
  <c r="DH114" i="6"/>
  <c r="CZ133" i="6"/>
  <c r="BA116" i="6"/>
  <c r="J137" i="6"/>
  <c r="J144" i="6" s="1"/>
  <c r="J146" i="6" s="1"/>
  <c r="CR116" i="6"/>
  <c r="BK138" i="6"/>
  <c r="AX130" i="6"/>
  <c r="BC133" i="6"/>
  <c r="BX133" i="6"/>
  <c r="BA142" i="6"/>
  <c r="CF65" i="6"/>
  <c r="BS65" i="6" s="1"/>
  <c r="BR65" i="6" s="1"/>
  <c r="CN65" i="6" s="1"/>
  <c r="BI66" i="6"/>
  <c r="AX66" i="6" s="1"/>
  <c r="BD145" i="6"/>
  <c r="CQ145" i="6"/>
  <c r="CY145" i="6"/>
  <c r="CY113" i="6"/>
  <c r="AA107" i="6"/>
  <c r="AW107" i="6" s="1"/>
  <c r="AA108" i="6"/>
  <c r="AW108" i="6" s="1"/>
  <c r="BM108" i="6"/>
  <c r="AX108" i="6" s="1"/>
  <c r="BD113" i="6"/>
  <c r="M137" i="6"/>
  <c r="M144" i="6" s="1"/>
  <c r="M146" i="6" s="1"/>
  <c r="M133" i="6"/>
  <c r="M135" i="6" s="1"/>
  <c r="BI133" i="6"/>
  <c r="CP133" i="6"/>
  <c r="CP137" i="6"/>
  <c r="AM137" i="6"/>
  <c r="AM144" i="6" s="1"/>
  <c r="AM146" i="6" s="1"/>
  <c r="BH115" i="6"/>
  <c r="AB115" i="6"/>
  <c r="AA115" i="6" s="1"/>
  <c r="AW115" i="6" s="1"/>
  <c r="CY116" i="6"/>
  <c r="CY117" i="6"/>
  <c r="CY138" i="6" s="1"/>
  <c r="BH117" i="6"/>
  <c r="BH138" i="6" s="1"/>
  <c r="DA138" i="6"/>
  <c r="AB119" i="6"/>
  <c r="AA119" i="6" s="1"/>
  <c r="AW119" i="6" s="1"/>
  <c r="AA127" i="6"/>
  <c r="AW127" i="6" s="1"/>
  <c r="I138" i="6"/>
  <c r="Q138" i="6"/>
  <c r="Q144" i="6" s="1"/>
  <c r="Q146" i="6" s="1"/>
  <c r="AV145" i="6"/>
  <c r="BE113" i="6"/>
  <c r="BE145" i="6"/>
  <c r="CP145" i="6"/>
  <c r="CX145" i="6"/>
  <c r="DG145" i="6"/>
  <c r="U145" i="6"/>
  <c r="BA114" i="6"/>
  <c r="CR114" i="6"/>
  <c r="BF114" i="6"/>
  <c r="BQ114" i="6"/>
  <c r="CT137" i="6"/>
  <c r="DB137" i="6"/>
  <c r="CY115" i="6"/>
  <c r="BH116" i="6"/>
  <c r="DH117" i="6"/>
  <c r="DH138" i="6" s="1"/>
  <c r="BC138" i="6"/>
  <c r="BL138" i="6"/>
  <c r="CP138" i="6"/>
  <c r="AZ119" i="6"/>
  <c r="J133" i="6"/>
  <c r="J135" i="6" s="1"/>
  <c r="CT145" i="6"/>
  <c r="CS138" i="6"/>
  <c r="DB138" i="6"/>
  <c r="BR132" i="6"/>
  <c r="CN132" i="6" s="1"/>
  <c r="T144" i="6"/>
  <c r="T146" i="6" s="1"/>
  <c r="AQ145" i="6"/>
  <c r="AQ113" i="6"/>
  <c r="AY133" i="6"/>
  <c r="CW114" i="6"/>
  <c r="AV138" i="6"/>
  <c r="BQ117" i="6"/>
  <c r="CT138" i="6"/>
  <c r="DB126" i="6"/>
  <c r="DB133" i="6" s="1"/>
  <c r="BB128" i="6"/>
  <c r="AX128" i="6" s="1"/>
  <c r="CS128" i="6"/>
  <c r="CO128" i="6" s="1"/>
  <c r="AA131" i="6"/>
  <c r="AW131" i="6" s="1"/>
  <c r="BU144" i="6"/>
  <c r="BA145" i="6"/>
  <c r="BI145" i="6"/>
  <c r="DB145" i="6"/>
  <c r="CM145" i="6"/>
  <c r="BL100" i="6"/>
  <c r="AX100" i="6" s="1"/>
  <c r="BU145" i="6"/>
  <c r="BU113" i="6"/>
  <c r="BU135" i="6" s="1"/>
  <c r="BA113" i="6"/>
  <c r="Q133" i="6"/>
  <c r="Q135" i="6" s="1"/>
  <c r="BH114" i="6"/>
  <c r="BK137" i="6"/>
  <c r="DG133" i="6"/>
  <c r="BG138" i="6"/>
  <c r="BV138" i="6"/>
  <c r="BS117" i="6"/>
  <c r="CU138" i="6"/>
  <c r="AP143" i="6"/>
  <c r="AP133" i="6"/>
  <c r="AB126" i="6"/>
  <c r="AA126" i="6" s="1"/>
  <c r="AW126" i="6" s="1"/>
  <c r="AA128" i="6"/>
  <c r="AW128" i="6" s="1"/>
  <c r="BE138" i="6"/>
  <c r="BM138" i="6"/>
  <c r="DD138" i="6"/>
  <c r="BB132" i="6"/>
  <c r="AB132" i="6"/>
  <c r="AA132" i="6" s="1"/>
  <c r="AW132" i="6" s="1"/>
  <c r="AL133" i="6"/>
  <c r="AL135" i="6" s="1"/>
  <c r="R144" i="6"/>
  <c r="R146" i="6" s="1"/>
  <c r="AI144" i="6"/>
  <c r="AI146" i="6" s="1"/>
  <c r="AS144" i="6"/>
  <c r="AS146" i="6" s="1"/>
  <c r="AZ117" i="6"/>
  <c r="AZ138" i="6" s="1"/>
  <c r="CS137" i="6"/>
  <c r="DA137" i="6"/>
  <c r="CR138" i="6"/>
  <c r="CZ138" i="6"/>
  <c r="V144" i="6"/>
  <c r="CA144" i="6"/>
  <c r="CA146" i="6" s="1"/>
  <c r="CK144" i="6"/>
  <c r="CK146" i="6" s="1"/>
  <c r="CN127" i="6" l="1"/>
  <c r="DN127" i="6"/>
  <c r="CN85" i="6"/>
  <c r="DN85" i="6"/>
  <c r="BR120" i="6"/>
  <c r="DM120" i="6"/>
  <c r="BR107" i="6"/>
  <c r="DM107" i="6"/>
  <c r="AH135" i="6"/>
  <c r="CN128" i="6"/>
  <c r="DN128" i="6"/>
  <c r="BR99" i="6"/>
  <c r="DM99" i="6"/>
  <c r="BR126" i="6"/>
  <c r="DM126" i="6"/>
  <c r="CN121" i="6"/>
  <c r="DN121" i="6"/>
  <c r="AX19" i="6"/>
  <c r="BB133" i="6"/>
  <c r="BR40" i="6"/>
  <c r="CN40" i="6" s="1"/>
  <c r="DM40" i="6"/>
  <c r="DM55" i="6"/>
  <c r="BR55" i="6"/>
  <c r="CN55" i="6" s="1"/>
  <c r="CN80" i="6"/>
  <c r="DN80" i="6"/>
  <c r="CN106" i="6"/>
  <c r="DN106" i="6"/>
  <c r="CN116" i="6"/>
  <c r="DN116" i="6"/>
  <c r="CN97" i="6"/>
  <c r="DN97" i="6"/>
  <c r="BJ142" i="6"/>
  <c r="CN59" i="6"/>
  <c r="DN59" i="6"/>
  <c r="CN68" i="6"/>
  <c r="DN68" i="6"/>
  <c r="BR75" i="6"/>
  <c r="DM75" i="6"/>
  <c r="BR117" i="6"/>
  <c r="DM117" i="6"/>
  <c r="BR143" i="6"/>
  <c r="DM146" i="6"/>
  <c r="BB20" i="6"/>
  <c r="BR46" i="6"/>
  <c r="CN46" i="6" s="1"/>
  <c r="DM46" i="6"/>
  <c r="AX125" i="6"/>
  <c r="BR130" i="6"/>
  <c r="CN130" i="6" s="1"/>
  <c r="DM130" i="6"/>
  <c r="CS13" i="6"/>
  <c r="BR41" i="6"/>
  <c r="CN41" i="6" s="1"/>
  <c r="DM41" i="6"/>
  <c r="BR79" i="6"/>
  <c r="DM79" i="6"/>
  <c r="BR115" i="6"/>
  <c r="DM115" i="6"/>
  <c r="BX141" i="6"/>
  <c r="BX144" i="6" s="1"/>
  <c r="BX146" i="6" s="1"/>
  <c r="CN96" i="6"/>
  <c r="DN96" i="6"/>
  <c r="BS138" i="6"/>
  <c r="DM141" i="6" s="1"/>
  <c r="AX127" i="6"/>
  <c r="CM135" i="6"/>
  <c r="CS133" i="6"/>
  <c r="CX133" i="6"/>
  <c r="CT93" i="6"/>
  <c r="DH139" i="6"/>
  <c r="DC40" i="6"/>
  <c r="CO40" i="6" s="1"/>
  <c r="BR124" i="6"/>
  <c r="CN124" i="6" s="1"/>
  <c r="AP135" i="6"/>
  <c r="CT60" i="6"/>
  <c r="AA123" i="6"/>
  <c r="AW123" i="6" s="1"/>
  <c r="K135" i="6"/>
  <c r="AZ113" i="6"/>
  <c r="CY133" i="6"/>
  <c r="CY135" i="6" s="1"/>
  <c r="CQ133" i="6"/>
  <c r="CO118" i="6"/>
  <c r="CO124" i="6"/>
  <c r="DC138" i="6"/>
  <c r="AB143" i="6"/>
  <c r="AA143" i="6" s="1"/>
  <c r="AW143" i="6" s="1"/>
  <c r="AX119" i="6"/>
  <c r="AX116" i="6"/>
  <c r="BV135" i="6"/>
  <c r="AO135" i="6"/>
  <c r="CO116" i="6"/>
  <c r="AA118" i="6"/>
  <c r="AW118" i="6" s="1"/>
  <c r="G138" i="6"/>
  <c r="BR138" i="6" s="1"/>
  <c r="AX121" i="6"/>
  <c r="CO115" i="6"/>
  <c r="BB141" i="6"/>
  <c r="AX132" i="6"/>
  <c r="CQ138" i="6"/>
  <c r="L144" i="6"/>
  <c r="L146" i="6" s="1"/>
  <c r="BX135" i="6"/>
  <c r="V146" i="6"/>
  <c r="AZ145" i="6"/>
  <c r="AQ135" i="6"/>
  <c r="AG135" i="6"/>
  <c r="U135" i="6"/>
  <c r="CI113" i="6"/>
  <c r="CI135" i="6" s="1"/>
  <c r="AX103" i="6"/>
  <c r="BQ113" i="6"/>
  <c r="CX135" i="6"/>
  <c r="AX98" i="6"/>
  <c r="DH113" i="6"/>
  <c r="BQ145" i="6"/>
  <c r="CM144" i="6"/>
  <c r="CM146" i="6" s="1"/>
  <c r="CP135" i="6"/>
  <c r="BJ93" i="6"/>
  <c r="CF142" i="6"/>
  <c r="CF144" i="6" s="1"/>
  <c r="CF146" i="6" s="1"/>
  <c r="BB93" i="6"/>
  <c r="BR74" i="6"/>
  <c r="BY135" i="6"/>
  <c r="AX73" i="6"/>
  <c r="AX65" i="6"/>
  <c r="CF93" i="6"/>
  <c r="AX90" i="6"/>
  <c r="BG144" i="6"/>
  <c r="BG146" i="6" s="1"/>
  <c r="BI140" i="6"/>
  <c r="K144" i="6"/>
  <c r="K146" i="6" s="1"/>
  <c r="BI60" i="6"/>
  <c r="AA52" i="6"/>
  <c r="AW52" i="6" s="1"/>
  <c r="AN135" i="6"/>
  <c r="AY144" i="6"/>
  <c r="AY146" i="6" s="1"/>
  <c r="CO41" i="6"/>
  <c r="AB142" i="6"/>
  <c r="AB138" i="6"/>
  <c r="G140" i="6"/>
  <c r="BL140" i="6"/>
  <c r="BL144" i="6" s="1"/>
  <c r="AA23" i="6"/>
  <c r="AW23" i="6" s="1"/>
  <c r="DG140" i="6"/>
  <c r="DG144" i="6" s="1"/>
  <c r="DG146" i="6" s="1"/>
  <c r="DH140" i="6"/>
  <c r="AR146" i="6"/>
  <c r="CG144" i="6"/>
  <c r="CG146" i="6" s="1"/>
  <c r="DF135" i="6"/>
  <c r="CO52" i="6"/>
  <c r="DH60" i="6"/>
  <c r="BP135" i="6"/>
  <c r="AA13" i="6"/>
  <c r="AW13" i="6" s="1"/>
  <c r="BO135" i="6"/>
  <c r="U146" i="6"/>
  <c r="BR7" i="6"/>
  <c r="CN7" i="6" s="1"/>
  <c r="AB139" i="6"/>
  <c r="AA139" i="6" s="1"/>
  <c r="AW139" i="6" s="1"/>
  <c r="AB141" i="6"/>
  <c r="CS20" i="6"/>
  <c r="AO144" i="6"/>
  <c r="AO146" i="6" s="1"/>
  <c r="BO144" i="6"/>
  <c r="BO146" i="6" s="1"/>
  <c r="AQ146" i="6"/>
  <c r="AB140" i="6"/>
  <c r="AG144" i="6"/>
  <c r="AG146" i="6" s="1"/>
  <c r="G20" i="6"/>
  <c r="DG135" i="6"/>
  <c r="AP144" i="6"/>
  <c r="AP146" i="6" s="1"/>
  <c r="BS145" i="6"/>
  <c r="DM147" i="6" s="1"/>
  <c r="CH146" i="6"/>
  <c r="BR18" i="6"/>
  <c r="CN18" i="6" s="1"/>
  <c r="BY144" i="6"/>
  <c r="BY146" i="6" s="1"/>
  <c r="DH20" i="6"/>
  <c r="BB139" i="6"/>
  <c r="AB145" i="6"/>
  <c r="AV144" i="6"/>
  <c r="AV146" i="6" s="1"/>
  <c r="CV135" i="6"/>
  <c r="BC144" i="6"/>
  <c r="BC146" i="6" s="1"/>
  <c r="DH141" i="6"/>
  <c r="G133" i="6"/>
  <c r="G137" i="6"/>
  <c r="G142" i="6"/>
  <c r="G93" i="6"/>
  <c r="AX58" i="6"/>
  <c r="AZ20" i="6"/>
  <c r="AX5" i="6"/>
  <c r="BQ138" i="6"/>
  <c r="AX138" i="6" s="1"/>
  <c r="BA137" i="6"/>
  <c r="BA144" i="6" s="1"/>
  <c r="BA146" i="6" s="1"/>
  <c r="BA133" i="6"/>
  <c r="BA135" i="6" s="1"/>
  <c r="DH145" i="6"/>
  <c r="CZ93" i="6"/>
  <c r="CZ135" i="6" s="1"/>
  <c r="CZ142" i="6"/>
  <c r="BR114" i="6"/>
  <c r="BS133" i="6"/>
  <c r="DM133" i="6" s="1"/>
  <c r="DC113" i="6"/>
  <c r="AX117" i="6"/>
  <c r="AE135" i="6"/>
  <c r="DH137" i="6"/>
  <c r="DH133" i="6"/>
  <c r="BS58" i="6"/>
  <c r="BR58" i="6" s="1"/>
  <c r="CN58" i="6" s="1"/>
  <c r="Z135" i="6"/>
  <c r="BG135" i="6"/>
  <c r="CV144" i="6"/>
  <c r="CV146" i="6" s="1"/>
  <c r="BQ20" i="6"/>
  <c r="AX26" i="6"/>
  <c r="CO13" i="6"/>
  <c r="CY137" i="6"/>
  <c r="CY144" i="6" s="1"/>
  <c r="CY146" i="6" s="1"/>
  <c r="BV144" i="6"/>
  <c r="BV146" i="6" s="1"/>
  <c r="BS137" i="6"/>
  <c r="DM140" i="6" s="1"/>
  <c r="BB113" i="6"/>
  <c r="BB135" i="6" s="1"/>
  <c r="BB145" i="6"/>
  <c r="AA121" i="6"/>
  <c r="AW121" i="6" s="1"/>
  <c r="CU144" i="6"/>
  <c r="CU146" i="6" s="1"/>
  <c r="DC145" i="6"/>
  <c r="AA95" i="6"/>
  <c r="AW95" i="6" s="1"/>
  <c r="AB113" i="6"/>
  <c r="BS93" i="6"/>
  <c r="BR61" i="6"/>
  <c r="CN61" i="6" s="1"/>
  <c r="CO117" i="6"/>
  <c r="AA103" i="6"/>
  <c r="AW103" i="6" s="1"/>
  <c r="CO90" i="6"/>
  <c r="DC60" i="6"/>
  <c r="AX109" i="6"/>
  <c r="CQ60" i="6"/>
  <c r="CH60" i="6"/>
  <c r="CH135" i="6" s="1"/>
  <c r="AX115" i="6"/>
  <c r="BE137" i="6"/>
  <c r="BE144" i="6" s="1"/>
  <c r="BE146" i="6" s="1"/>
  <c r="BE133" i="6"/>
  <c r="BE135" i="6" s="1"/>
  <c r="AZ139" i="6"/>
  <c r="AX8" i="6"/>
  <c r="DB20" i="6"/>
  <c r="DB135" i="6" s="1"/>
  <c r="CF135" i="6"/>
  <c r="BP144" i="6"/>
  <c r="BP146" i="6" s="1"/>
  <c r="AV135" i="6"/>
  <c r="BC60" i="6"/>
  <c r="BC135" i="6" s="1"/>
  <c r="CO28" i="6"/>
  <c r="CR137" i="6"/>
  <c r="CR144" i="6" s="1"/>
  <c r="CR146" i="6" s="1"/>
  <c r="CR133" i="6"/>
  <c r="CR135" i="6" s="1"/>
  <c r="AA114" i="6"/>
  <c r="AW114" i="6" s="1"/>
  <c r="BK135" i="6"/>
  <c r="BR98" i="6"/>
  <c r="CN98" i="6" s="1"/>
  <c r="G145" i="6"/>
  <c r="G113" i="6"/>
  <c r="BR139" i="6"/>
  <c r="DD144" i="6"/>
  <c r="AH144" i="6"/>
  <c r="AH146" i="6" s="1"/>
  <c r="BD144" i="6"/>
  <c r="BD146" i="6" s="1"/>
  <c r="CS93" i="6"/>
  <c r="AB93" i="6"/>
  <c r="BH133" i="6"/>
  <c r="BH135" i="6" s="1"/>
  <c r="BH137" i="6"/>
  <c r="BH144" i="6" s="1"/>
  <c r="BH146" i="6" s="1"/>
  <c r="DB143" i="6"/>
  <c r="CO143" i="6" s="1"/>
  <c r="CO126" i="6"/>
  <c r="CT144" i="6"/>
  <c r="CT146" i="6" s="1"/>
  <c r="BI142" i="6"/>
  <c r="BG133" i="6"/>
  <c r="AA101" i="6"/>
  <c r="AW101" i="6" s="1"/>
  <c r="BR101" i="6"/>
  <c r="CN101" i="6" s="1"/>
  <c r="AE144" i="6"/>
  <c r="AE146" i="6" s="1"/>
  <c r="AB137" i="6"/>
  <c r="BN140" i="6"/>
  <c r="BN144" i="6" s="1"/>
  <c r="BN146" i="6" s="1"/>
  <c r="BN60" i="6"/>
  <c r="BN135" i="6" s="1"/>
  <c r="CO100" i="6"/>
  <c r="BJ60" i="6"/>
  <c r="BD135" i="6"/>
  <c r="AZ140" i="6"/>
  <c r="AZ60" i="6"/>
  <c r="AX21" i="6"/>
  <c r="CE142" i="6"/>
  <c r="CE93" i="6"/>
  <c r="CE135" i="6" s="1"/>
  <c r="DD104" i="6"/>
  <c r="CO104" i="6" s="1"/>
  <c r="BS104" i="6"/>
  <c r="BR104" i="6" s="1"/>
  <c r="CN104" i="6" s="1"/>
  <c r="BB142" i="6"/>
  <c r="CQ140" i="6"/>
  <c r="CT20" i="6"/>
  <c r="CQ20" i="6"/>
  <c r="CO5" i="6"/>
  <c r="BR45" i="6"/>
  <c r="CN45" i="6" s="1"/>
  <c r="AA45" i="6"/>
  <c r="AW45" i="6" s="1"/>
  <c r="BS20" i="6"/>
  <c r="DM20" i="6" s="1"/>
  <c r="Z144" i="6"/>
  <c r="Z146" i="6" s="1"/>
  <c r="BQ140" i="6"/>
  <c r="AA16" i="6"/>
  <c r="AW16" i="6" s="1"/>
  <c r="BR16" i="6"/>
  <c r="CN16" i="6" s="1"/>
  <c r="AA61" i="6"/>
  <c r="AW61" i="6" s="1"/>
  <c r="BR28" i="6"/>
  <c r="CN28" i="6" s="1"/>
  <c r="DH142" i="6"/>
  <c r="DH93" i="6"/>
  <c r="BS140" i="6"/>
  <c r="DM143" i="6" s="1"/>
  <c r="BK144" i="6"/>
  <c r="BK146" i="6" s="1"/>
  <c r="CW133" i="6"/>
  <c r="CW135" i="6" s="1"/>
  <c r="CW137" i="6"/>
  <c r="CW144" i="6" s="1"/>
  <c r="CW146" i="6" s="1"/>
  <c r="CS142" i="6"/>
  <c r="BR109" i="6"/>
  <c r="BM113" i="6"/>
  <c r="BM135" i="6" s="1"/>
  <c r="BM145" i="6"/>
  <c r="AX95" i="6"/>
  <c r="BI93" i="6"/>
  <c r="AA19" i="6"/>
  <c r="AW19" i="6" s="1"/>
  <c r="AA5" i="6"/>
  <c r="AW5" i="6" s="1"/>
  <c r="AB20" i="6"/>
  <c r="BQ133" i="6"/>
  <c r="BQ137" i="6"/>
  <c r="CP144" i="6"/>
  <c r="CP146" i="6" s="1"/>
  <c r="BL145" i="6"/>
  <c r="DF144" i="6"/>
  <c r="DF146" i="6" s="1"/>
  <c r="I144" i="6"/>
  <c r="I146" i="6" s="1"/>
  <c r="BR95" i="6"/>
  <c r="CN95" i="6" s="1"/>
  <c r="CX144" i="6"/>
  <c r="CX146" i="6" s="1"/>
  <c r="AA98" i="6"/>
  <c r="AW98" i="6" s="1"/>
  <c r="BJ140" i="6"/>
  <c r="BQ142" i="6"/>
  <c r="BQ93" i="6"/>
  <c r="BQ141" i="6"/>
  <c r="BL60" i="6"/>
  <c r="BR5" i="6"/>
  <c r="CN5" i="6" s="1"/>
  <c r="AY135" i="6"/>
  <c r="AB60" i="6"/>
  <c r="AA32" i="6"/>
  <c r="AW32" i="6" s="1"/>
  <c r="AX143" i="6"/>
  <c r="DA65" i="6"/>
  <c r="DA142" i="6" s="1"/>
  <c r="DA144" i="6" s="1"/>
  <c r="DA146" i="6" s="1"/>
  <c r="CQ139" i="6"/>
  <c r="CO8" i="6"/>
  <c r="CS141" i="6"/>
  <c r="BQ60" i="6"/>
  <c r="G141" i="6"/>
  <c r="BU146" i="6"/>
  <c r="BF133" i="6"/>
  <c r="BF135" i="6" s="1"/>
  <c r="BF137" i="6"/>
  <c r="BF144" i="6" s="1"/>
  <c r="BF146" i="6" s="1"/>
  <c r="CO114" i="6"/>
  <c r="BL113" i="6"/>
  <c r="AZ133" i="6"/>
  <c r="AZ137" i="6"/>
  <c r="AX114" i="6"/>
  <c r="BM144" i="6"/>
  <c r="CO66" i="6"/>
  <c r="AB133" i="6"/>
  <c r="BR56" i="6"/>
  <c r="CN56" i="6" s="1"/>
  <c r="G60" i="6"/>
  <c r="CO98" i="6"/>
  <c r="CO113" i="6" s="1"/>
  <c r="CO61" i="6"/>
  <c r="I135" i="6"/>
  <c r="CN74" i="6" l="1"/>
  <c r="DN74" i="6"/>
  <c r="BS141" i="6"/>
  <c r="DM144" i="6" s="1"/>
  <c r="CN117" i="6"/>
  <c r="DN117" i="6"/>
  <c r="CN107" i="6"/>
  <c r="DN107" i="6"/>
  <c r="CN115" i="6"/>
  <c r="DN115" i="6"/>
  <c r="CN126" i="6"/>
  <c r="DN126" i="6"/>
  <c r="CN109" i="6"/>
  <c r="DN109" i="6"/>
  <c r="CN139" i="6"/>
  <c r="DN142" i="6"/>
  <c r="CN138" i="6"/>
  <c r="DN141" i="6"/>
  <c r="CN79" i="6"/>
  <c r="DN79" i="6"/>
  <c r="BR93" i="6"/>
  <c r="DM93" i="6"/>
  <c r="CN114" i="6"/>
  <c r="DN114" i="6"/>
  <c r="CN75" i="6"/>
  <c r="DN75" i="6"/>
  <c r="CN120" i="6"/>
  <c r="DN120" i="6"/>
  <c r="CN99" i="6"/>
  <c r="DN99" i="6"/>
  <c r="BJ144" i="6"/>
  <c r="BJ146" i="6" s="1"/>
  <c r="BJ135" i="6"/>
  <c r="CN143" i="6"/>
  <c r="DN146" i="6"/>
  <c r="AX93" i="6"/>
  <c r="CO139" i="6"/>
  <c r="CQ135" i="6"/>
  <c r="CO60" i="6"/>
  <c r="CT135" i="6"/>
  <c r="BR140" i="6"/>
  <c r="DD113" i="6"/>
  <c r="DD135" i="6" s="1"/>
  <c r="CS135" i="6"/>
  <c r="DC140" i="6"/>
  <c r="DC144" i="6" s="1"/>
  <c r="DC146" i="6" s="1"/>
  <c r="CO138" i="6"/>
  <c r="AX141" i="6"/>
  <c r="AA133" i="6"/>
  <c r="AW133" i="6" s="1"/>
  <c r="BR133" i="6"/>
  <c r="CO133" i="6"/>
  <c r="AX133" i="6"/>
  <c r="AA138" i="6"/>
  <c r="AW138" i="6" s="1"/>
  <c r="DD145" i="6"/>
  <c r="DD146" i="6" s="1"/>
  <c r="BL135" i="6"/>
  <c r="AX139" i="6"/>
  <c r="BQ144" i="6"/>
  <c r="BQ146" i="6" s="1"/>
  <c r="BB144" i="6"/>
  <c r="BB146" i="6" s="1"/>
  <c r="CO141" i="6"/>
  <c r="AA93" i="6"/>
  <c r="AW93" i="6" s="1"/>
  <c r="BI144" i="6"/>
  <c r="BI146" i="6" s="1"/>
  <c r="CQ144" i="6"/>
  <c r="CQ146" i="6" s="1"/>
  <c r="AX142" i="6"/>
  <c r="DH144" i="6"/>
  <c r="DH146" i="6" s="1"/>
  <c r="AZ135" i="6"/>
  <c r="AA140" i="6"/>
  <c r="AW140" i="6" s="1"/>
  <c r="AA145" i="6"/>
  <c r="AW145" i="6" s="1"/>
  <c r="AA142" i="6"/>
  <c r="AW142" i="6" s="1"/>
  <c r="BS60" i="6"/>
  <c r="DM60" i="6" s="1"/>
  <c r="BI135" i="6"/>
  <c r="DH135" i="6"/>
  <c r="AX140" i="6"/>
  <c r="G135" i="6"/>
  <c r="BR145" i="6"/>
  <c r="AA141" i="6"/>
  <c r="AW141" i="6" s="1"/>
  <c r="AX145" i="6"/>
  <c r="CO20" i="6"/>
  <c r="CS144" i="6"/>
  <c r="CS146" i="6" s="1"/>
  <c r="AX20" i="6"/>
  <c r="CO142" i="6"/>
  <c r="BR20" i="6"/>
  <c r="CZ144" i="6"/>
  <c r="CZ146" i="6" s="1"/>
  <c r="AB144" i="6"/>
  <c r="AA137" i="6"/>
  <c r="AW137" i="6" s="1"/>
  <c r="AZ144" i="6"/>
  <c r="AZ146" i="6" s="1"/>
  <c r="AX137" i="6"/>
  <c r="AA60" i="6"/>
  <c r="AW60" i="6" s="1"/>
  <c r="BS113" i="6"/>
  <c r="AB135" i="6"/>
  <c r="AA20" i="6"/>
  <c r="AW20" i="6" s="1"/>
  <c r="DB144" i="6"/>
  <c r="DB146" i="6" s="1"/>
  <c r="BM146" i="6"/>
  <c r="BS142" i="6"/>
  <c r="CE144" i="6"/>
  <c r="CE146" i="6" s="1"/>
  <c r="G144" i="6"/>
  <c r="G146" i="6" s="1"/>
  <c r="BL146" i="6"/>
  <c r="CO137" i="6"/>
  <c r="AX60" i="6"/>
  <c r="DC135" i="6"/>
  <c r="AA113" i="6"/>
  <c r="AW113" i="6" s="1"/>
  <c r="BQ135" i="6"/>
  <c r="BR137" i="6"/>
  <c r="CO65" i="6"/>
  <c r="CO93" i="6" s="1"/>
  <c r="CO135" i="6" s="1"/>
  <c r="DA93" i="6"/>
  <c r="DA135" i="6" s="1"/>
  <c r="AX113" i="6"/>
  <c r="DM135" i="6" l="1"/>
  <c r="CN93" i="6"/>
  <c r="DN93" i="6"/>
  <c r="BR141" i="6"/>
  <c r="BR113" i="6"/>
  <c r="DM113" i="6"/>
  <c r="CN137" i="6"/>
  <c r="DN140" i="6"/>
  <c r="BR142" i="6"/>
  <c r="DM145" i="6"/>
  <c r="DM149" i="6" s="1"/>
  <c r="CO140" i="6"/>
  <c r="CO144" i="6" s="1"/>
  <c r="CN145" i="6"/>
  <c r="DN147" i="6"/>
  <c r="CN140" i="6"/>
  <c r="DN143" i="6"/>
  <c r="CN20" i="6"/>
  <c r="DN20" i="6"/>
  <c r="CN133" i="6"/>
  <c r="DN133" i="6"/>
  <c r="CO145" i="6"/>
  <c r="BS135" i="6"/>
  <c r="BR135" i="6" s="1"/>
  <c r="AX144" i="6"/>
  <c r="AX146" i="6" s="1"/>
  <c r="BR60" i="6"/>
  <c r="AX135" i="6"/>
  <c r="AA135" i="6"/>
  <c r="AW135" i="6" s="1"/>
  <c r="AB146" i="6"/>
  <c r="AA144" i="6"/>
  <c r="AW144" i="6" s="1"/>
  <c r="BS144" i="6"/>
  <c r="CN142" i="6" l="1"/>
  <c r="DN145" i="6"/>
  <c r="DN60" i="6"/>
  <c r="CN60" i="6"/>
  <c r="CN135" i="6"/>
  <c r="DN135" i="6"/>
  <c r="CN113" i="6"/>
  <c r="DN113" i="6"/>
  <c r="CN141" i="6"/>
  <c r="DN144" i="6"/>
  <c r="CO146" i="6"/>
  <c r="BR144" i="6"/>
  <c r="CN144" i="6" s="1"/>
  <c r="BS146" i="6"/>
  <c r="AA146" i="6"/>
  <c r="AW146" i="6" s="1"/>
  <c r="BR146" i="6" l="1"/>
  <c r="CN146" i="6" l="1"/>
  <c r="DN149" i="6"/>
  <c r="DE145" i="5"/>
  <c r="CL145" i="5"/>
  <c r="CK145" i="5"/>
  <c r="CJ145" i="5"/>
  <c r="CG145" i="5"/>
  <c r="CF145" i="5"/>
  <c r="CE145" i="5"/>
  <c r="CD145" i="5"/>
  <c r="CC145" i="5"/>
  <c r="CB145" i="5"/>
  <c r="CA145" i="5"/>
  <c r="BZ145" i="5"/>
  <c r="BY145" i="5"/>
  <c r="BX145" i="5"/>
  <c r="BW145" i="5"/>
  <c r="BV145" i="5"/>
  <c r="BT145" i="5"/>
  <c r="AU145" i="5"/>
  <c r="AT145" i="5"/>
  <c r="AS145" i="5"/>
  <c r="AP145" i="5"/>
  <c r="AO145" i="5"/>
  <c r="AN145" i="5"/>
  <c r="AM145" i="5"/>
  <c r="AL145" i="5"/>
  <c r="AK145" i="5"/>
  <c r="AJ145" i="5"/>
  <c r="AI145" i="5"/>
  <c r="AH145" i="5"/>
  <c r="AF145" i="5"/>
  <c r="AC145" i="5"/>
  <c r="Y145" i="5"/>
  <c r="X145" i="5"/>
  <c r="T145" i="5"/>
  <c r="S145" i="5"/>
  <c r="R145" i="5"/>
  <c r="Q145" i="5"/>
  <c r="P145" i="5"/>
  <c r="O145" i="5"/>
  <c r="N145" i="5"/>
  <c r="M145" i="5"/>
  <c r="L145" i="5"/>
  <c r="K145" i="5"/>
  <c r="J145" i="5"/>
  <c r="H145" i="5"/>
  <c r="DE143" i="5"/>
  <c r="CJ143" i="5"/>
  <c r="AS143" i="5"/>
  <c r="Z143" i="5"/>
  <c r="X143" i="5"/>
  <c r="DE142" i="5"/>
  <c r="CL142" i="5"/>
  <c r="CK142" i="5"/>
  <c r="CJ142" i="5"/>
  <c r="CI142" i="5"/>
  <c r="CH142" i="5"/>
  <c r="CG142" i="5"/>
  <c r="CD142" i="5"/>
  <c r="CC142" i="5"/>
  <c r="CB142" i="5"/>
  <c r="CA142" i="5"/>
  <c r="BZ142" i="5"/>
  <c r="BW142" i="5"/>
  <c r="BV142" i="5"/>
  <c r="BU142" i="5"/>
  <c r="BT142" i="5"/>
  <c r="AU142" i="5"/>
  <c r="AT142" i="5"/>
  <c r="AS142" i="5"/>
  <c r="AR142" i="5"/>
  <c r="AQ142" i="5"/>
  <c r="AP142" i="5"/>
  <c r="AM142" i="5"/>
  <c r="AL142" i="5"/>
  <c r="AK142" i="5"/>
  <c r="AJ142" i="5"/>
  <c r="AI142" i="5"/>
  <c r="AF142" i="5"/>
  <c r="AE142" i="5"/>
  <c r="AD142" i="5"/>
  <c r="AC142" i="5"/>
  <c r="Y142" i="5"/>
  <c r="X142" i="5"/>
  <c r="V142" i="5"/>
  <c r="U142" i="5"/>
  <c r="T142" i="5"/>
  <c r="Q142" i="5"/>
  <c r="P142" i="5"/>
  <c r="O142" i="5"/>
  <c r="N142" i="5"/>
  <c r="M142" i="5"/>
  <c r="J142" i="5"/>
  <c r="I142" i="5"/>
  <c r="H142" i="5"/>
  <c r="DE141" i="5"/>
  <c r="CL141" i="5"/>
  <c r="CK141" i="5"/>
  <c r="CJ141" i="5"/>
  <c r="CI141" i="5"/>
  <c r="CH141" i="5"/>
  <c r="CE141" i="5"/>
  <c r="CD141" i="5"/>
  <c r="CC141" i="5"/>
  <c r="CB141" i="5"/>
  <c r="CA141" i="5"/>
  <c r="BZ141" i="5"/>
  <c r="BW141" i="5"/>
  <c r="BV141" i="5"/>
  <c r="BU141" i="5"/>
  <c r="BT141" i="5"/>
  <c r="AU141" i="5"/>
  <c r="AT141" i="5"/>
  <c r="AS141" i="5"/>
  <c r="AR141" i="5"/>
  <c r="AQ141" i="5"/>
  <c r="AN141" i="5"/>
  <c r="AM141" i="5"/>
  <c r="AL141" i="5"/>
  <c r="AK141" i="5"/>
  <c r="AJ141" i="5"/>
  <c r="AI141" i="5"/>
  <c r="AF141" i="5"/>
  <c r="AE141" i="5"/>
  <c r="AD141" i="5"/>
  <c r="AC141" i="5"/>
  <c r="Y141" i="5"/>
  <c r="X141" i="5"/>
  <c r="V141" i="5"/>
  <c r="U141" i="5"/>
  <c r="T141" i="5"/>
  <c r="S141" i="5"/>
  <c r="R141" i="5"/>
  <c r="Q141" i="5"/>
  <c r="P141" i="5"/>
  <c r="O141" i="5"/>
  <c r="N141" i="5"/>
  <c r="M141" i="5"/>
  <c r="L141" i="5"/>
  <c r="J141" i="5"/>
  <c r="H141" i="5"/>
  <c r="CK140" i="5"/>
  <c r="CI140" i="5"/>
  <c r="CG140" i="5"/>
  <c r="CD140" i="5"/>
  <c r="CC140" i="5"/>
  <c r="CB140" i="5"/>
  <c r="CA140" i="5"/>
  <c r="BZ140" i="5"/>
  <c r="BX140" i="5"/>
  <c r="BW140" i="5"/>
  <c r="BU140" i="5"/>
  <c r="BT140" i="5"/>
  <c r="AT140" i="5"/>
  <c r="AR140" i="5"/>
  <c r="AP140" i="5"/>
  <c r="AM140" i="5"/>
  <c r="AL140" i="5"/>
  <c r="AK140" i="5"/>
  <c r="AJ140" i="5"/>
  <c r="AI140" i="5"/>
  <c r="AG140" i="5"/>
  <c r="AF140" i="5"/>
  <c r="AD140" i="5"/>
  <c r="AC140" i="5"/>
  <c r="X140" i="5"/>
  <c r="V140" i="5"/>
  <c r="T140" i="5"/>
  <c r="S140" i="5"/>
  <c r="Q140" i="5"/>
  <c r="P140" i="5"/>
  <c r="O140" i="5"/>
  <c r="N140" i="5"/>
  <c r="M140" i="5"/>
  <c r="K140" i="5"/>
  <c r="J140" i="5"/>
  <c r="H140" i="5"/>
  <c r="DE139" i="5"/>
  <c r="CL139" i="5"/>
  <c r="CK139" i="5"/>
  <c r="CJ139" i="5"/>
  <c r="CI139" i="5"/>
  <c r="CH139" i="5"/>
  <c r="CG139" i="5"/>
  <c r="CF139" i="5"/>
  <c r="CE139" i="5"/>
  <c r="CD139" i="5"/>
  <c r="CC139" i="5"/>
  <c r="CB139" i="5"/>
  <c r="CA139" i="5"/>
  <c r="BZ139" i="5"/>
  <c r="BY139" i="5"/>
  <c r="BW139" i="5"/>
  <c r="BU139" i="5"/>
  <c r="BT139" i="5"/>
  <c r="BO139" i="5"/>
  <c r="AU139" i="5"/>
  <c r="AT139" i="5"/>
  <c r="AS139" i="5"/>
  <c r="AR139" i="5"/>
  <c r="AQ139" i="5"/>
  <c r="AP139" i="5"/>
  <c r="AO139" i="5"/>
  <c r="AN139" i="5"/>
  <c r="AM139" i="5"/>
  <c r="AL139" i="5"/>
  <c r="AK139" i="5"/>
  <c r="AJ139" i="5"/>
  <c r="AI139" i="5"/>
  <c r="AH139" i="5"/>
  <c r="AF139" i="5"/>
  <c r="AD139" i="5"/>
  <c r="AC139" i="5"/>
  <c r="Y139" i="5"/>
  <c r="X139" i="5"/>
  <c r="V139" i="5"/>
  <c r="U139" i="5"/>
  <c r="T139" i="5"/>
  <c r="S139" i="5"/>
  <c r="R139" i="5"/>
  <c r="Q139" i="5"/>
  <c r="P139" i="5"/>
  <c r="O139" i="5"/>
  <c r="N139" i="5"/>
  <c r="M139" i="5"/>
  <c r="L139" i="5"/>
  <c r="J139" i="5"/>
  <c r="H139" i="5"/>
  <c r="DE138" i="5"/>
  <c r="CL138" i="5"/>
  <c r="CK138" i="5"/>
  <c r="CJ138" i="5"/>
  <c r="CI138" i="5"/>
  <c r="CH138" i="5"/>
  <c r="CG138" i="5"/>
  <c r="CE138" i="5"/>
  <c r="CC138" i="5"/>
  <c r="CB138" i="5"/>
  <c r="CA138" i="5"/>
  <c r="BZ138" i="5"/>
  <c r="BY138" i="5"/>
  <c r="BX138" i="5"/>
  <c r="BW138" i="5"/>
  <c r="BU138" i="5"/>
  <c r="BT138" i="5"/>
  <c r="AU138" i="5"/>
  <c r="AT138" i="5"/>
  <c r="AS138" i="5"/>
  <c r="AR138" i="5"/>
  <c r="AQ138" i="5"/>
  <c r="AP138" i="5"/>
  <c r="AN138" i="5"/>
  <c r="AL138" i="5"/>
  <c r="AK138" i="5"/>
  <c r="AJ138" i="5"/>
  <c r="AI138" i="5"/>
  <c r="AH138" i="5"/>
  <c r="AG138" i="5"/>
  <c r="AF138" i="5"/>
  <c r="AD138" i="5"/>
  <c r="AC138" i="5"/>
  <c r="Y138" i="5"/>
  <c r="X138" i="5"/>
  <c r="V138" i="5"/>
  <c r="T138" i="5"/>
  <c r="S138" i="5"/>
  <c r="R138" i="5"/>
  <c r="P138" i="5"/>
  <c r="O138" i="5"/>
  <c r="N138" i="5"/>
  <c r="M138" i="5"/>
  <c r="L138" i="5"/>
  <c r="K138" i="5"/>
  <c r="J138" i="5"/>
  <c r="H138" i="5"/>
  <c r="DE137" i="5"/>
  <c r="CL137" i="5"/>
  <c r="CK137" i="5"/>
  <c r="CJ137" i="5"/>
  <c r="CI137" i="5"/>
  <c r="CH137" i="5"/>
  <c r="CG137" i="5"/>
  <c r="CF137" i="5"/>
  <c r="CE137" i="5"/>
  <c r="CB137" i="5"/>
  <c r="CA137" i="5"/>
  <c r="BZ137" i="5"/>
  <c r="BY137" i="5"/>
  <c r="BX137" i="5"/>
  <c r="BV137" i="5"/>
  <c r="BU137" i="5"/>
  <c r="BT137" i="5"/>
  <c r="BO137" i="5"/>
  <c r="AU137" i="5"/>
  <c r="AT137" i="5"/>
  <c r="AS137" i="5"/>
  <c r="AR137" i="5"/>
  <c r="AQ137" i="5"/>
  <c r="AP137" i="5"/>
  <c r="AO137" i="5"/>
  <c r="AN137" i="5"/>
  <c r="AK137" i="5"/>
  <c r="AJ137" i="5"/>
  <c r="AI137" i="5"/>
  <c r="AH137" i="5"/>
  <c r="AG137" i="5"/>
  <c r="AD137" i="5"/>
  <c r="AC137" i="5"/>
  <c r="Y137" i="5"/>
  <c r="X137" i="5"/>
  <c r="V137" i="5"/>
  <c r="U137" i="5"/>
  <c r="T137" i="5"/>
  <c r="S137" i="5"/>
  <c r="R137" i="5"/>
  <c r="L137" i="5"/>
  <c r="K137" i="5"/>
  <c r="H137" i="5"/>
  <c r="H144" i="5" s="1"/>
  <c r="H146" i="5" s="1"/>
  <c r="DE133" i="5"/>
  <c r="CL133" i="5"/>
  <c r="CI133" i="5"/>
  <c r="CH133" i="5"/>
  <c r="CE133" i="5"/>
  <c r="CB133" i="5"/>
  <c r="CA133" i="5"/>
  <c r="BZ133" i="5"/>
  <c r="BY133" i="5"/>
  <c r="BU133" i="5"/>
  <c r="BT133" i="5"/>
  <c r="BN133" i="5"/>
  <c r="AU133" i="5"/>
  <c r="AS133" i="5"/>
  <c r="AR133" i="5"/>
  <c r="AQ133" i="5"/>
  <c r="AN133" i="5"/>
  <c r="AK133" i="5"/>
  <c r="AJ133" i="5"/>
  <c r="AI133" i="5"/>
  <c r="AH133" i="5"/>
  <c r="AD133" i="5"/>
  <c r="Y133" i="5"/>
  <c r="X133" i="5"/>
  <c r="W133" i="5"/>
  <c r="V133" i="5"/>
  <c r="S133" i="5"/>
  <c r="R133" i="5"/>
  <c r="L133" i="5"/>
  <c r="K133" i="5"/>
  <c r="H133" i="5"/>
  <c r="DG132" i="5"/>
  <c r="DF132" i="5"/>
  <c r="DD132" i="5"/>
  <c r="DC132" i="5"/>
  <c r="DB132" i="5"/>
  <c r="DA132" i="5"/>
  <c r="CZ132" i="5"/>
  <c r="CY132" i="5"/>
  <c r="CX132" i="5"/>
  <c r="CW132" i="5"/>
  <c r="CV132" i="5"/>
  <c r="CU132" i="5"/>
  <c r="CT132" i="5"/>
  <c r="CS132" i="5"/>
  <c r="CR132" i="5"/>
  <c r="CQ132" i="5"/>
  <c r="CP132" i="5"/>
  <c r="CM132" i="5"/>
  <c r="BX132" i="5"/>
  <c r="BP132" i="5"/>
  <c r="BM132" i="5"/>
  <c r="BL132" i="5"/>
  <c r="BK132" i="5"/>
  <c r="BJ132" i="5"/>
  <c r="BI132" i="5"/>
  <c r="BH132" i="5"/>
  <c r="BG132" i="5"/>
  <c r="BF132" i="5"/>
  <c r="BE132" i="5"/>
  <c r="BD132" i="5"/>
  <c r="BC132" i="5"/>
  <c r="BA132" i="5"/>
  <c r="AZ132" i="5"/>
  <c r="AY132" i="5"/>
  <c r="AV132" i="5"/>
  <c r="AG132" i="5"/>
  <c r="BB132" i="5" s="1"/>
  <c r="Z132" i="5"/>
  <c r="DH131" i="5"/>
  <c r="DG131" i="5"/>
  <c r="DF131" i="5"/>
  <c r="DD131" i="5"/>
  <c r="DC131" i="5"/>
  <c r="DB131" i="5"/>
  <c r="DA131" i="5"/>
  <c r="CZ131" i="5"/>
  <c r="CY131" i="5"/>
  <c r="CX131" i="5"/>
  <c r="CW131" i="5"/>
  <c r="CV131" i="5"/>
  <c r="CU131" i="5"/>
  <c r="CT131" i="5"/>
  <c r="CR131" i="5"/>
  <c r="CQ131" i="5"/>
  <c r="CP131" i="5"/>
  <c r="BX131" i="5"/>
  <c r="BS131" i="5" s="1"/>
  <c r="BQ131" i="5"/>
  <c r="BP131" i="5"/>
  <c r="BM131" i="5"/>
  <c r="BL131" i="5"/>
  <c r="BK131" i="5"/>
  <c r="BJ131" i="5"/>
  <c r="BI131" i="5"/>
  <c r="BH131" i="5"/>
  <c r="BG131" i="5"/>
  <c r="BF131" i="5"/>
  <c r="BE131" i="5"/>
  <c r="BD131" i="5"/>
  <c r="BC131" i="5"/>
  <c r="BA131" i="5"/>
  <c r="AZ131" i="5"/>
  <c r="AY131" i="5"/>
  <c r="AG131" i="5"/>
  <c r="AB131" i="5" s="1"/>
  <c r="AA131" i="5" s="1"/>
  <c r="AW131" i="5" s="1"/>
  <c r="G131" i="5"/>
  <c r="BR131" i="5" s="1"/>
  <c r="CN131" i="5" s="1"/>
  <c r="DH130" i="5"/>
  <c r="DG130" i="5"/>
  <c r="DF130" i="5"/>
  <c r="DD130" i="5"/>
  <c r="DC130" i="5"/>
  <c r="DB130" i="5"/>
  <c r="DA130" i="5"/>
  <c r="CZ130" i="5"/>
  <c r="CY130" i="5"/>
  <c r="CX130" i="5"/>
  <c r="CW130" i="5"/>
  <c r="CV130" i="5"/>
  <c r="CU130" i="5"/>
  <c r="CT130" i="5"/>
  <c r="CR130" i="5"/>
  <c r="CQ130" i="5"/>
  <c r="CP130" i="5"/>
  <c r="BX130" i="5"/>
  <c r="BQ130" i="5"/>
  <c r="BP130" i="5"/>
  <c r="BM130" i="5"/>
  <c r="BL130" i="5"/>
  <c r="BK130" i="5"/>
  <c r="BJ130" i="5"/>
  <c r="BI130" i="5"/>
  <c r="BH130" i="5"/>
  <c r="BG130" i="5"/>
  <c r="BF130" i="5"/>
  <c r="BE130" i="5"/>
  <c r="BD130" i="5"/>
  <c r="BC130" i="5"/>
  <c r="BB130" i="5"/>
  <c r="BA130" i="5"/>
  <c r="AZ130" i="5"/>
  <c r="AY130" i="5"/>
  <c r="AG130" i="5"/>
  <c r="AB130" i="5" s="1"/>
  <c r="G130" i="5"/>
  <c r="DH129" i="5"/>
  <c r="DG129" i="5"/>
  <c r="DF129" i="5"/>
  <c r="DD129" i="5"/>
  <c r="DC129" i="5"/>
  <c r="DB129" i="5"/>
  <c r="DA129" i="5"/>
  <c r="CZ129" i="5"/>
  <c r="CY129" i="5"/>
  <c r="CX129" i="5"/>
  <c r="CW129" i="5"/>
  <c r="CV129" i="5"/>
  <c r="CO129" i="5" s="1"/>
  <c r="CU129" i="5"/>
  <c r="CT129" i="5"/>
  <c r="CS129" i="5"/>
  <c r="CR129" i="5"/>
  <c r="CQ129" i="5"/>
  <c r="CP129" i="5"/>
  <c r="BS129" i="5"/>
  <c r="BR129" i="5" s="1"/>
  <c r="CN129" i="5" s="1"/>
  <c r="BQ129" i="5"/>
  <c r="BP129" i="5"/>
  <c r="BM129" i="5"/>
  <c r="BL129" i="5"/>
  <c r="BK129" i="5"/>
  <c r="BJ129" i="5"/>
  <c r="BI129" i="5"/>
  <c r="BH129" i="5"/>
  <c r="BG129" i="5"/>
  <c r="BF129" i="5"/>
  <c r="BE129" i="5"/>
  <c r="BD129" i="5"/>
  <c r="BC129" i="5"/>
  <c r="BB129" i="5"/>
  <c r="BA129" i="5"/>
  <c r="AZ129" i="5"/>
  <c r="AY129" i="5"/>
  <c r="AB129" i="5"/>
  <c r="AA129" i="5"/>
  <c r="AW129" i="5" s="1"/>
  <c r="G129" i="5"/>
  <c r="DH128" i="5"/>
  <c r="DG128" i="5"/>
  <c r="DF128" i="5"/>
  <c r="DD128" i="5"/>
  <c r="DC128" i="5"/>
  <c r="DB128" i="5"/>
  <c r="DA128" i="5"/>
  <c r="CZ128" i="5"/>
  <c r="CY128" i="5"/>
  <c r="CX128" i="5"/>
  <c r="CW128" i="5"/>
  <c r="CV128" i="5"/>
  <c r="CU128" i="5"/>
  <c r="CT128" i="5"/>
  <c r="CR128" i="5"/>
  <c r="CQ128" i="5"/>
  <c r="CP128" i="5"/>
  <c r="BX128" i="5"/>
  <c r="BS128" i="5" s="1"/>
  <c r="BR128" i="5" s="1"/>
  <c r="CN128" i="5" s="1"/>
  <c r="BQ128" i="5"/>
  <c r="BP128" i="5"/>
  <c r="BM128" i="5"/>
  <c r="BL128" i="5"/>
  <c r="BK128" i="5"/>
  <c r="BJ128" i="5"/>
  <c r="BI128" i="5"/>
  <c r="BH128" i="5"/>
  <c r="BG128" i="5"/>
  <c r="BF128" i="5"/>
  <c r="BE128" i="5"/>
  <c r="BD128" i="5"/>
  <c r="BC128" i="5"/>
  <c r="BB128" i="5"/>
  <c r="BA128" i="5"/>
  <c r="AZ128" i="5"/>
  <c r="AY128" i="5"/>
  <c r="AG128" i="5"/>
  <c r="AB128" i="5" s="1"/>
  <c r="K128" i="5"/>
  <c r="G128" i="5" s="1"/>
  <c r="DH127" i="5"/>
  <c r="DG127" i="5"/>
  <c r="DF127" i="5"/>
  <c r="DD127" i="5"/>
  <c r="DC127" i="5"/>
  <c r="DB127" i="5"/>
  <c r="DA127" i="5"/>
  <c r="CZ127" i="5"/>
  <c r="CY127" i="5"/>
  <c r="CX127" i="5"/>
  <c r="CW127" i="5"/>
  <c r="CV127" i="5"/>
  <c r="CU127" i="5"/>
  <c r="CT127" i="5"/>
  <c r="CR127" i="5"/>
  <c r="CQ127" i="5"/>
  <c r="CP127" i="5"/>
  <c r="BX127" i="5"/>
  <c r="BQ127" i="5"/>
  <c r="BP127" i="5"/>
  <c r="BM127" i="5"/>
  <c r="BL127" i="5"/>
  <c r="BK127" i="5"/>
  <c r="BJ127" i="5"/>
  <c r="BI127" i="5"/>
  <c r="BH127" i="5"/>
  <c r="BG127" i="5"/>
  <c r="BF127" i="5"/>
  <c r="BE127" i="5"/>
  <c r="BD127" i="5"/>
  <c r="BC127" i="5"/>
  <c r="BA127" i="5"/>
  <c r="AZ127" i="5"/>
  <c r="AY127" i="5"/>
  <c r="AG127" i="5"/>
  <c r="K127" i="5"/>
  <c r="CK126" i="5"/>
  <c r="CG126" i="5"/>
  <c r="BS126" i="5" s="1"/>
  <c r="AT126" i="5"/>
  <c r="AP126" i="5"/>
  <c r="AP143" i="5" s="1"/>
  <c r="T126" i="5"/>
  <c r="DH125" i="5"/>
  <c r="DG125" i="5"/>
  <c r="DF125" i="5"/>
  <c r="DD125" i="5"/>
  <c r="DC125" i="5"/>
  <c r="DB125" i="5"/>
  <c r="CZ125" i="5"/>
  <c r="CY125" i="5"/>
  <c r="CX125" i="5"/>
  <c r="CW125" i="5"/>
  <c r="CV125" i="5"/>
  <c r="CU125" i="5"/>
  <c r="CT125" i="5"/>
  <c r="CS125" i="5"/>
  <c r="CR125" i="5"/>
  <c r="CR138" i="5" s="1"/>
  <c r="CQ125" i="5"/>
  <c r="CP125" i="5"/>
  <c r="CF125" i="5"/>
  <c r="CF138" i="5" s="1"/>
  <c r="BQ125" i="5"/>
  <c r="BP125" i="5"/>
  <c r="BO125" i="5"/>
  <c r="BO138" i="5" s="1"/>
  <c r="BM125" i="5"/>
  <c r="BL125" i="5"/>
  <c r="BK125" i="5"/>
  <c r="BI125" i="5"/>
  <c r="BH125" i="5"/>
  <c r="BG125" i="5"/>
  <c r="BF125" i="5"/>
  <c r="BE125" i="5"/>
  <c r="BD125" i="5"/>
  <c r="BC125" i="5"/>
  <c r="BB125" i="5"/>
  <c r="BA125" i="5"/>
  <c r="AZ125" i="5"/>
  <c r="AY125" i="5"/>
  <c r="AO125" i="5"/>
  <c r="BJ125" i="5" s="1"/>
  <c r="G125" i="5"/>
  <c r="DH124" i="5"/>
  <c r="DG124" i="5"/>
  <c r="DF124" i="5"/>
  <c r="DD124" i="5"/>
  <c r="DB124" i="5"/>
  <c r="DA124" i="5"/>
  <c r="CZ124" i="5"/>
  <c r="CY124" i="5"/>
  <c r="CX124" i="5"/>
  <c r="CW124" i="5"/>
  <c r="CV124" i="5"/>
  <c r="CU124" i="5"/>
  <c r="CT124" i="5"/>
  <c r="CS124" i="5"/>
  <c r="CR124" i="5"/>
  <c r="CP124" i="5"/>
  <c r="BV124" i="5"/>
  <c r="BS124" i="5" s="1"/>
  <c r="BQ124" i="5"/>
  <c r="BP124" i="5"/>
  <c r="BM124" i="5"/>
  <c r="BK124" i="5"/>
  <c r="BJ124" i="5"/>
  <c r="BI124" i="5"/>
  <c r="BH124" i="5"/>
  <c r="BG124" i="5"/>
  <c r="BF124" i="5"/>
  <c r="BE124" i="5"/>
  <c r="BD124" i="5"/>
  <c r="BC124" i="5"/>
  <c r="BB124" i="5"/>
  <c r="BA124" i="5"/>
  <c r="AY124" i="5"/>
  <c r="AE124" i="5"/>
  <c r="AB124" i="5"/>
  <c r="U124" i="5"/>
  <c r="I124" i="5"/>
  <c r="DG123" i="5"/>
  <c r="DF123" i="5"/>
  <c r="DD123" i="5"/>
  <c r="DC123" i="5"/>
  <c r="DB123" i="5"/>
  <c r="DA123" i="5"/>
  <c r="CZ123" i="5"/>
  <c r="CY123" i="5"/>
  <c r="CX123" i="5"/>
  <c r="CW123" i="5"/>
  <c r="CV123" i="5"/>
  <c r="CU123" i="5"/>
  <c r="CT123" i="5"/>
  <c r="CS123" i="5"/>
  <c r="CR123" i="5"/>
  <c r="CQ123" i="5"/>
  <c r="CP123" i="5"/>
  <c r="CM123" i="5"/>
  <c r="BS123" i="5" s="1"/>
  <c r="BP123" i="5"/>
  <c r="BM123" i="5"/>
  <c r="BL123" i="5"/>
  <c r="BK123" i="5"/>
  <c r="BJ123" i="5"/>
  <c r="BI123" i="5"/>
  <c r="BH123" i="5"/>
  <c r="BG123" i="5"/>
  <c r="BF123" i="5"/>
  <c r="BE123" i="5"/>
  <c r="BD123" i="5"/>
  <c r="BC123" i="5"/>
  <c r="BB123" i="5"/>
  <c r="BA123" i="5"/>
  <c r="AZ123" i="5"/>
  <c r="AY123" i="5"/>
  <c r="AV123" i="5"/>
  <c r="AB123" i="5"/>
  <c r="Z123" i="5"/>
  <c r="G123" i="5" s="1"/>
  <c r="DG122" i="5"/>
  <c r="DF122" i="5"/>
  <c r="DD122" i="5"/>
  <c r="DC122" i="5"/>
  <c r="DB122" i="5"/>
  <c r="DA122" i="5"/>
  <c r="CZ122" i="5"/>
  <c r="CY122" i="5"/>
  <c r="CX122" i="5"/>
  <c r="CW122" i="5"/>
  <c r="CV122" i="5"/>
  <c r="CU122" i="5"/>
  <c r="CT122" i="5"/>
  <c r="CS122" i="5"/>
  <c r="CR122" i="5"/>
  <c r="CQ122" i="5"/>
  <c r="CP122" i="5"/>
  <c r="CM122" i="5"/>
  <c r="BS122" i="5" s="1"/>
  <c r="BP122" i="5"/>
  <c r="BM122" i="5"/>
  <c r="BL122" i="5"/>
  <c r="BK122" i="5"/>
  <c r="BJ122" i="5"/>
  <c r="BI122" i="5"/>
  <c r="BH122" i="5"/>
  <c r="BG122" i="5"/>
  <c r="BF122" i="5"/>
  <c r="BE122" i="5"/>
  <c r="BD122" i="5"/>
  <c r="BC122" i="5"/>
  <c r="BB122" i="5"/>
  <c r="BA122" i="5"/>
  <c r="AZ122" i="5"/>
  <c r="AY122" i="5"/>
  <c r="AV122" i="5"/>
  <c r="AB122" i="5"/>
  <c r="AA122" i="5" s="1"/>
  <c r="AW122" i="5" s="1"/>
  <c r="Z122" i="5"/>
  <c r="G122" i="5"/>
  <c r="DG121" i="5"/>
  <c r="DF121" i="5"/>
  <c r="DD121" i="5"/>
  <c r="DC121" i="5"/>
  <c r="DB121" i="5"/>
  <c r="DA121" i="5"/>
  <c r="CZ121" i="5"/>
  <c r="CY121" i="5"/>
  <c r="CX121" i="5"/>
  <c r="CW121" i="5"/>
  <c r="CV121" i="5"/>
  <c r="CU121" i="5"/>
  <c r="CT121" i="5"/>
  <c r="CS121" i="5"/>
  <c r="CR121" i="5"/>
  <c r="CP121" i="5"/>
  <c r="CM121" i="5"/>
  <c r="BS121" i="5" s="1"/>
  <c r="BP121" i="5"/>
  <c r="BM121" i="5"/>
  <c r="BL121" i="5"/>
  <c r="BK121" i="5"/>
  <c r="BJ121" i="5"/>
  <c r="BI121" i="5"/>
  <c r="BH121" i="5"/>
  <c r="BG121" i="5"/>
  <c r="BF121" i="5"/>
  <c r="BE121" i="5"/>
  <c r="BD121" i="5"/>
  <c r="BC121" i="5"/>
  <c r="BB121" i="5"/>
  <c r="BA121" i="5"/>
  <c r="AY121" i="5"/>
  <c r="AV121" i="5"/>
  <c r="AB121" i="5" s="1"/>
  <c r="Z121" i="5"/>
  <c r="I121" i="5"/>
  <c r="DG120" i="5"/>
  <c r="DF120" i="5"/>
  <c r="DD120" i="5"/>
  <c r="DC120" i="5"/>
  <c r="DB120" i="5"/>
  <c r="DA120" i="5"/>
  <c r="CZ120" i="5"/>
  <c r="CX120" i="5"/>
  <c r="CW120" i="5"/>
  <c r="CV120" i="5"/>
  <c r="CU120" i="5"/>
  <c r="CT120" i="5"/>
  <c r="CS120" i="5"/>
  <c r="CR120" i="5"/>
  <c r="CP120" i="5"/>
  <c r="CM120" i="5"/>
  <c r="CD120" i="5"/>
  <c r="CY120" i="5" s="1"/>
  <c r="BV120" i="5"/>
  <c r="CQ120" i="5" s="1"/>
  <c r="BP120" i="5"/>
  <c r="BM120" i="5"/>
  <c r="BL120" i="5"/>
  <c r="BK120" i="5"/>
  <c r="BJ120" i="5"/>
  <c r="BI120" i="5"/>
  <c r="BH120" i="5"/>
  <c r="BG120" i="5"/>
  <c r="BF120" i="5"/>
  <c r="BE120" i="5"/>
  <c r="BD120" i="5"/>
  <c r="BC120" i="5"/>
  <c r="BB120" i="5"/>
  <c r="AX120" i="5" s="1"/>
  <c r="BA120" i="5"/>
  <c r="AZ120" i="5"/>
  <c r="AY120" i="5"/>
  <c r="AV120" i="5"/>
  <c r="AE120" i="5"/>
  <c r="AB120" i="5"/>
  <c r="Z120" i="5"/>
  <c r="BQ120" i="5" s="1"/>
  <c r="G120" i="5"/>
  <c r="DG119" i="5"/>
  <c r="DF119" i="5"/>
  <c r="DD119" i="5"/>
  <c r="DC119" i="5"/>
  <c r="DB119" i="5"/>
  <c r="DA119" i="5"/>
  <c r="CZ119" i="5"/>
  <c r="CY119" i="5"/>
  <c r="CX119" i="5"/>
  <c r="CW119" i="5"/>
  <c r="CV119" i="5"/>
  <c r="CU119" i="5"/>
  <c r="CT119" i="5"/>
  <c r="CS119" i="5"/>
  <c r="CR119" i="5"/>
  <c r="CP119" i="5"/>
  <c r="CM119" i="5"/>
  <c r="BV119" i="5"/>
  <c r="BS119" i="5" s="1"/>
  <c r="BP119" i="5"/>
  <c r="BM119" i="5"/>
  <c r="BL119" i="5"/>
  <c r="BK119" i="5"/>
  <c r="BJ119" i="5"/>
  <c r="BI119" i="5"/>
  <c r="BH119" i="5"/>
  <c r="BG119" i="5"/>
  <c r="BF119" i="5"/>
  <c r="BE119" i="5"/>
  <c r="BD119" i="5"/>
  <c r="BC119" i="5"/>
  <c r="BB119" i="5"/>
  <c r="BA119" i="5"/>
  <c r="AY119" i="5"/>
  <c r="AV119" i="5"/>
  <c r="AE119" i="5"/>
  <c r="Z119" i="5"/>
  <c r="I119" i="5"/>
  <c r="G119" i="5"/>
  <c r="DH118" i="5"/>
  <c r="DG118" i="5"/>
  <c r="DG138" i="5" s="1"/>
  <c r="DF118" i="5"/>
  <c r="DD118" i="5"/>
  <c r="DC118" i="5"/>
  <c r="DB118" i="5"/>
  <c r="DA118" i="5"/>
  <c r="CZ118" i="5"/>
  <c r="CY118" i="5"/>
  <c r="CX118" i="5"/>
  <c r="CW118" i="5"/>
  <c r="CV118" i="5"/>
  <c r="CU118" i="5"/>
  <c r="CT118" i="5"/>
  <c r="CS118" i="5"/>
  <c r="CR118" i="5"/>
  <c r="CQ118" i="5"/>
  <c r="CP118" i="5"/>
  <c r="BV118" i="5"/>
  <c r="BS118" i="5"/>
  <c r="BR118" i="5" s="1"/>
  <c r="CN118" i="5" s="1"/>
  <c r="BP118" i="5"/>
  <c r="BM118" i="5"/>
  <c r="BL118" i="5"/>
  <c r="BK118" i="5"/>
  <c r="BJ118" i="5"/>
  <c r="BI118" i="5"/>
  <c r="BH118" i="5"/>
  <c r="BG118" i="5"/>
  <c r="BF118" i="5"/>
  <c r="BE118" i="5"/>
  <c r="BD118" i="5"/>
  <c r="BC118" i="5"/>
  <c r="BB118" i="5"/>
  <c r="BA118" i="5"/>
  <c r="AY118" i="5"/>
  <c r="AV118" i="5"/>
  <c r="AE118" i="5"/>
  <c r="I118" i="5"/>
  <c r="G118" i="5" s="1"/>
  <c r="DG117" i="5"/>
  <c r="DF117" i="5"/>
  <c r="DD117" i="5"/>
  <c r="DC117" i="5"/>
  <c r="DB117" i="5"/>
  <c r="DA117" i="5"/>
  <c r="CZ117" i="5"/>
  <c r="CX117" i="5"/>
  <c r="CW117" i="5"/>
  <c r="CV117" i="5"/>
  <c r="CU117" i="5"/>
  <c r="CT117" i="5"/>
  <c r="CS117" i="5"/>
  <c r="CR117" i="5"/>
  <c r="CP117" i="5"/>
  <c r="CM117" i="5"/>
  <c r="CD117" i="5"/>
  <c r="CD138" i="5" s="1"/>
  <c r="BV117" i="5"/>
  <c r="BP117" i="5"/>
  <c r="BM117" i="5"/>
  <c r="BL117" i="5"/>
  <c r="BK117" i="5"/>
  <c r="BJ117" i="5"/>
  <c r="BI117" i="5"/>
  <c r="BG117" i="5"/>
  <c r="BF117" i="5"/>
  <c r="BE117" i="5"/>
  <c r="BD117" i="5"/>
  <c r="BC117" i="5"/>
  <c r="BB117" i="5"/>
  <c r="BA117" i="5"/>
  <c r="AY117" i="5"/>
  <c r="AV117" i="5"/>
  <c r="AM117" i="5"/>
  <c r="AM138" i="5" s="1"/>
  <c r="AE117" i="5"/>
  <c r="Z117" i="5"/>
  <c r="Q117" i="5"/>
  <c r="I117" i="5"/>
  <c r="DH116" i="5"/>
  <c r="DG116" i="5"/>
  <c r="DF116" i="5"/>
  <c r="DD116" i="5"/>
  <c r="DC116" i="5"/>
  <c r="DB116" i="5"/>
  <c r="DA116" i="5"/>
  <c r="CZ116" i="5"/>
  <c r="CX116" i="5"/>
  <c r="CW116" i="5"/>
  <c r="CV116" i="5"/>
  <c r="CU116" i="5"/>
  <c r="CT116" i="5"/>
  <c r="CS116" i="5"/>
  <c r="CQ116" i="5"/>
  <c r="CP116" i="5"/>
  <c r="CD116" i="5"/>
  <c r="BW116" i="5"/>
  <c r="BW137" i="5" s="1"/>
  <c r="BQ116" i="5"/>
  <c r="BP116" i="5"/>
  <c r="BM116" i="5"/>
  <c r="BL116" i="5"/>
  <c r="BK116" i="5"/>
  <c r="BJ116" i="5"/>
  <c r="BI116" i="5"/>
  <c r="BG116" i="5"/>
  <c r="BF116" i="5"/>
  <c r="BE116" i="5"/>
  <c r="BD116" i="5"/>
  <c r="BC116" i="5"/>
  <c r="BB116" i="5"/>
  <c r="AZ116" i="5"/>
  <c r="AY116" i="5"/>
  <c r="AM116" i="5"/>
  <c r="AB116" i="5" s="1"/>
  <c r="AF116" i="5"/>
  <c r="Q116" i="5"/>
  <c r="J116" i="5"/>
  <c r="DG115" i="5"/>
  <c r="DF115" i="5"/>
  <c r="DD115" i="5"/>
  <c r="DC115" i="5"/>
  <c r="DB115" i="5"/>
  <c r="DA115" i="5"/>
  <c r="DA137" i="5" s="1"/>
  <c r="CZ115" i="5"/>
  <c r="CW115" i="5"/>
  <c r="CV115" i="5"/>
  <c r="CU115" i="5"/>
  <c r="CT115" i="5"/>
  <c r="CS115" i="5"/>
  <c r="CR115" i="5"/>
  <c r="CP115" i="5"/>
  <c r="CM115" i="5"/>
  <c r="CD115" i="5"/>
  <c r="CC115" i="5"/>
  <c r="BW115" i="5"/>
  <c r="BV115" i="5"/>
  <c r="CQ115" i="5" s="1"/>
  <c r="BP115" i="5"/>
  <c r="BM115" i="5"/>
  <c r="BL115" i="5"/>
  <c r="BK115" i="5"/>
  <c r="BJ115" i="5"/>
  <c r="BI115" i="5"/>
  <c r="BF115" i="5"/>
  <c r="BE115" i="5"/>
  <c r="BD115" i="5"/>
  <c r="BC115" i="5"/>
  <c r="BB115" i="5"/>
  <c r="AY115" i="5"/>
  <c r="AV115" i="5"/>
  <c r="AM115" i="5"/>
  <c r="AL115" i="5"/>
  <c r="AF115" i="5"/>
  <c r="BA115" i="5" s="1"/>
  <c r="AE115" i="5"/>
  <c r="Z115" i="5"/>
  <c r="Q115" i="5"/>
  <c r="P115" i="5"/>
  <c r="I115" i="5"/>
  <c r="DG114" i="5"/>
  <c r="DF114" i="5"/>
  <c r="DD114" i="5"/>
  <c r="DD137" i="5" s="1"/>
  <c r="DC114" i="5"/>
  <c r="DB114" i="5"/>
  <c r="DA114" i="5"/>
  <c r="CZ114" i="5"/>
  <c r="CX114" i="5"/>
  <c r="CV114" i="5"/>
  <c r="CV137" i="5" s="1"/>
  <c r="CT114" i="5"/>
  <c r="CS114" i="5"/>
  <c r="CP114" i="5"/>
  <c r="CM114" i="5"/>
  <c r="BV114" i="5"/>
  <c r="BP114" i="5"/>
  <c r="BM114" i="5"/>
  <c r="BL114" i="5"/>
  <c r="BK114" i="5"/>
  <c r="BJ114" i="5"/>
  <c r="BI114" i="5"/>
  <c r="BI137" i="5" s="1"/>
  <c r="BG114" i="5"/>
  <c r="BE114" i="5"/>
  <c r="BD114" i="5"/>
  <c r="BD137" i="5" s="1"/>
  <c r="BC114" i="5"/>
  <c r="BB114" i="5"/>
  <c r="AY114" i="5"/>
  <c r="AV114" i="5"/>
  <c r="AE114" i="5"/>
  <c r="Z114" i="5"/>
  <c r="Z137" i="5" s="1"/>
  <c r="Q114" i="5"/>
  <c r="O114" i="5"/>
  <c r="CW114" i="5" s="1"/>
  <c r="N114" i="5"/>
  <c r="M114" i="5"/>
  <c r="J114" i="5"/>
  <c r="I114" i="5"/>
  <c r="CQ114" i="5" s="1"/>
  <c r="DE113" i="5"/>
  <c r="CL113" i="5"/>
  <c r="CK113" i="5"/>
  <c r="CJ113" i="5"/>
  <c r="CG113" i="5"/>
  <c r="CF113" i="5"/>
  <c r="CE113" i="5"/>
  <c r="CD113" i="5"/>
  <c r="CC113" i="5"/>
  <c r="CB113" i="5"/>
  <c r="CA113" i="5"/>
  <c r="BZ113" i="5"/>
  <c r="BY113" i="5"/>
  <c r="BX113" i="5"/>
  <c r="BW113" i="5"/>
  <c r="BV113" i="5"/>
  <c r="BT113" i="5"/>
  <c r="BO113" i="5"/>
  <c r="BN113" i="5"/>
  <c r="AU113" i="5"/>
  <c r="AT113" i="5"/>
  <c r="AS113" i="5"/>
  <c r="AP113" i="5"/>
  <c r="AO113" i="5"/>
  <c r="AN113" i="5"/>
  <c r="AM113" i="5"/>
  <c r="AL113" i="5"/>
  <c r="AK113" i="5"/>
  <c r="AJ113" i="5"/>
  <c r="AI113" i="5"/>
  <c r="AH113" i="5"/>
  <c r="AF113" i="5"/>
  <c r="Y113" i="5"/>
  <c r="X113" i="5"/>
  <c r="W113" i="5"/>
  <c r="T113" i="5"/>
  <c r="S113" i="5"/>
  <c r="R113" i="5"/>
  <c r="Q113" i="5"/>
  <c r="P113" i="5"/>
  <c r="O113" i="5"/>
  <c r="N113" i="5"/>
  <c r="M113" i="5"/>
  <c r="L113" i="5"/>
  <c r="K113" i="5"/>
  <c r="J113" i="5"/>
  <c r="H113" i="5"/>
  <c r="CQ112" i="5"/>
  <c r="CO112" i="5" s="1"/>
  <c r="BS112" i="5"/>
  <c r="AE112" i="5"/>
  <c r="AZ112" i="5" s="1"/>
  <c r="AX112" i="5" s="1"/>
  <c r="G112" i="5"/>
  <c r="CQ111" i="5"/>
  <c r="CO111" i="5" s="1"/>
  <c r="BS111" i="5"/>
  <c r="AZ111" i="5"/>
  <c r="AX111" i="5"/>
  <c r="AB111" i="5"/>
  <c r="G111" i="5"/>
  <c r="CQ110" i="5"/>
  <c r="CO110" i="5"/>
  <c r="BS110" i="5"/>
  <c r="AZ110" i="5"/>
  <c r="AX110" i="5" s="1"/>
  <c r="AB110" i="5"/>
  <c r="G110" i="5"/>
  <c r="DH109" i="5"/>
  <c r="DG109" i="5"/>
  <c r="DF109" i="5"/>
  <c r="DD109" i="5"/>
  <c r="DB109" i="5"/>
  <c r="DA109" i="5"/>
  <c r="CZ109" i="5"/>
  <c r="CY109" i="5"/>
  <c r="CX109" i="5"/>
  <c r="CW109" i="5"/>
  <c r="CV109" i="5"/>
  <c r="CU109" i="5"/>
  <c r="CT109" i="5"/>
  <c r="CS109" i="5"/>
  <c r="CR109" i="5"/>
  <c r="CQ109" i="5"/>
  <c r="CP109" i="5"/>
  <c r="CH109" i="5"/>
  <c r="BS109" i="5" s="1"/>
  <c r="BQ109" i="5"/>
  <c r="BP109" i="5"/>
  <c r="BM109" i="5"/>
  <c r="BK109" i="5"/>
  <c r="BJ109" i="5"/>
  <c r="BI109" i="5"/>
  <c r="BH109" i="5"/>
  <c r="BG109" i="5"/>
  <c r="BF109" i="5"/>
  <c r="BE109" i="5"/>
  <c r="BD109" i="5"/>
  <c r="BC109" i="5"/>
  <c r="BB109" i="5"/>
  <c r="BA109" i="5"/>
  <c r="AY109" i="5"/>
  <c r="AQ109" i="5"/>
  <c r="AB109" i="5" s="1"/>
  <c r="U109" i="5"/>
  <c r="I109" i="5"/>
  <c r="G109" i="5" s="1"/>
  <c r="DH108" i="5"/>
  <c r="DG108" i="5"/>
  <c r="DF108" i="5"/>
  <c r="DC108" i="5"/>
  <c r="DB108" i="5"/>
  <c r="DA108" i="5"/>
  <c r="CZ108" i="5"/>
  <c r="CY108" i="5"/>
  <c r="CX108" i="5"/>
  <c r="CW108" i="5"/>
  <c r="CV108" i="5"/>
  <c r="CU108" i="5"/>
  <c r="CT108" i="5"/>
  <c r="CS108" i="5"/>
  <c r="CR108" i="5"/>
  <c r="CQ108" i="5"/>
  <c r="CP108" i="5"/>
  <c r="CI108" i="5"/>
  <c r="DD108" i="5" s="1"/>
  <c r="BS108" i="5"/>
  <c r="BQ108" i="5"/>
  <c r="BP108" i="5"/>
  <c r="BL108" i="5"/>
  <c r="BK108" i="5"/>
  <c r="BJ108" i="5"/>
  <c r="BI108" i="5"/>
  <c r="BH108" i="5"/>
  <c r="BG108" i="5"/>
  <c r="BF108" i="5"/>
  <c r="BE108" i="5"/>
  <c r="BD108" i="5"/>
  <c r="BC108" i="5"/>
  <c r="BB108" i="5"/>
  <c r="BA108" i="5"/>
  <c r="AZ108" i="5"/>
  <c r="AY108" i="5"/>
  <c r="AR108" i="5"/>
  <c r="G108" i="5"/>
  <c r="DH107" i="5"/>
  <c r="DG107" i="5"/>
  <c r="DF107" i="5"/>
  <c r="DD107" i="5"/>
  <c r="DC107" i="5"/>
  <c r="DB107" i="5"/>
  <c r="DA107" i="5"/>
  <c r="CZ107" i="5"/>
  <c r="CY107" i="5"/>
  <c r="CX107" i="5"/>
  <c r="CW107" i="5"/>
  <c r="CV107" i="5"/>
  <c r="CU107" i="5"/>
  <c r="CT107" i="5"/>
  <c r="CS107" i="5"/>
  <c r="CR107" i="5"/>
  <c r="CQ107" i="5"/>
  <c r="CP107" i="5"/>
  <c r="CI107" i="5"/>
  <c r="BS107" i="5"/>
  <c r="BQ107" i="5"/>
  <c r="BP107" i="5"/>
  <c r="BL107" i="5"/>
  <c r="BK107" i="5"/>
  <c r="BJ107" i="5"/>
  <c r="BI107" i="5"/>
  <c r="BH107" i="5"/>
  <c r="BG107" i="5"/>
  <c r="BF107" i="5"/>
  <c r="BE107" i="5"/>
  <c r="BD107" i="5"/>
  <c r="BC107" i="5"/>
  <c r="BB107" i="5"/>
  <c r="BA107" i="5"/>
  <c r="AZ107" i="5"/>
  <c r="AY107" i="5"/>
  <c r="AR107" i="5"/>
  <c r="G107" i="5"/>
  <c r="DH106" i="5"/>
  <c r="DG106" i="5"/>
  <c r="DF106" i="5"/>
  <c r="DD106" i="5"/>
  <c r="DC106" i="5"/>
  <c r="DB106" i="5"/>
  <c r="DA106" i="5"/>
  <c r="CZ106" i="5"/>
  <c r="CY106" i="5"/>
  <c r="CX106" i="5"/>
  <c r="CW106" i="5"/>
  <c r="CV106" i="5"/>
  <c r="CU106" i="5"/>
  <c r="CT106" i="5"/>
  <c r="CS106" i="5"/>
  <c r="CR106" i="5"/>
  <c r="CQ106" i="5"/>
  <c r="CI106" i="5"/>
  <c r="BU106" i="5"/>
  <c r="BQ106" i="5"/>
  <c r="BP106" i="5"/>
  <c r="BM106" i="5"/>
  <c r="BL106" i="5"/>
  <c r="BK106" i="5"/>
  <c r="BJ106" i="5"/>
  <c r="BI106" i="5"/>
  <c r="BH106" i="5"/>
  <c r="BG106" i="5"/>
  <c r="BF106" i="5"/>
  <c r="BE106" i="5"/>
  <c r="BD106" i="5"/>
  <c r="BC106" i="5"/>
  <c r="BA106" i="5"/>
  <c r="AR106" i="5"/>
  <c r="AG106" i="5"/>
  <c r="AE106" i="5"/>
  <c r="AD106" i="5"/>
  <c r="AD113" i="5" s="1"/>
  <c r="V106" i="5"/>
  <c r="G106" i="5"/>
  <c r="DG105" i="5"/>
  <c r="DF105" i="5"/>
  <c r="DC105" i="5"/>
  <c r="DB105" i="5"/>
  <c r="DA105" i="5"/>
  <c r="CZ105" i="5"/>
  <c r="CY105" i="5"/>
  <c r="CX105" i="5"/>
  <c r="CW105" i="5"/>
  <c r="CV105" i="5"/>
  <c r="CU105" i="5"/>
  <c r="CT105" i="5"/>
  <c r="CS105" i="5"/>
  <c r="CR105" i="5"/>
  <c r="CQ105" i="5"/>
  <c r="CP105" i="5"/>
  <c r="CM105" i="5"/>
  <c r="CI105" i="5"/>
  <c r="DD105" i="5" s="1"/>
  <c r="BP105" i="5"/>
  <c r="BL105" i="5"/>
  <c r="BK105" i="5"/>
  <c r="BJ105" i="5"/>
  <c r="BI105" i="5"/>
  <c r="BH105" i="5"/>
  <c r="BG105" i="5"/>
  <c r="BF105" i="5"/>
  <c r="BE105" i="5"/>
  <c r="BD105" i="5"/>
  <c r="BC105" i="5"/>
  <c r="BB105" i="5"/>
  <c r="BA105" i="5"/>
  <c r="AZ105" i="5"/>
  <c r="AY105" i="5"/>
  <c r="AV105" i="5"/>
  <c r="AR105" i="5"/>
  <c r="Z105" i="5"/>
  <c r="V105" i="5"/>
  <c r="DG104" i="5"/>
  <c r="DF104" i="5"/>
  <c r="DC104" i="5"/>
  <c r="DB104" i="5"/>
  <c r="DA104" i="5"/>
  <c r="CZ104" i="5"/>
  <c r="CY104" i="5"/>
  <c r="CX104" i="5"/>
  <c r="CW104" i="5"/>
  <c r="CV104" i="5"/>
  <c r="CU104" i="5"/>
  <c r="CT104" i="5"/>
  <c r="CS104" i="5"/>
  <c r="CR104" i="5"/>
  <c r="CQ104" i="5"/>
  <c r="CP104" i="5"/>
  <c r="CM104" i="5"/>
  <c r="CI104" i="5" s="1"/>
  <c r="DD104" i="5" s="1"/>
  <c r="BP104" i="5"/>
  <c r="BL104" i="5"/>
  <c r="BK104" i="5"/>
  <c r="BJ104" i="5"/>
  <c r="BI104" i="5"/>
  <c r="BH104" i="5"/>
  <c r="BG104" i="5"/>
  <c r="BF104" i="5"/>
  <c r="BE104" i="5"/>
  <c r="BD104" i="5"/>
  <c r="BC104" i="5"/>
  <c r="BB104" i="5"/>
  <c r="BA104" i="5"/>
  <c r="AZ104" i="5"/>
  <c r="AY104" i="5"/>
  <c r="AV104" i="5"/>
  <c r="BQ104" i="5" s="1"/>
  <c r="AR104" i="5"/>
  <c r="Z104" i="5"/>
  <c r="G104" i="5"/>
  <c r="DG103" i="5"/>
  <c r="DF103" i="5"/>
  <c r="DC103" i="5"/>
  <c r="DB103" i="5"/>
  <c r="DA103" i="5"/>
  <c r="CZ103" i="5"/>
  <c r="CY103" i="5"/>
  <c r="CX103" i="5"/>
  <c r="CW103" i="5"/>
  <c r="CV103" i="5"/>
  <c r="CU103" i="5"/>
  <c r="CT103" i="5"/>
  <c r="CS103" i="5"/>
  <c r="CR103" i="5"/>
  <c r="CQ103" i="5"/>
  <c r="CP103" i="5"/>
  <c r="CH103" i="5"/>
  <c r="CI103" i="5" s="1"/>
  <c r="BP103" i="5"/>
  <c r="BK103" i="5"/>
  <c r="BJ103" i="5"/>
  <c r="BI103" i="5"/>
  <c r="BH103" i="5"/>
  <c r="BG103" i="5"/>
  <c r="BF103" i="5"/>
  <c r="BE103" i="5"/>
  <c r="BD103" i="5"/>
  <c r="BC103" i="5"/>
  <c r="BB103" i="5"/>
  <c r="BA103" i="5"/>
  <c r="AZ103" i="5"/>
  <c r="AY103" i="5"/>
  <c r="AR103" i="5"/>
  <c r="AQ103" i="5"/>
  <c r="AB103" i="5" s="1"/>
  <c r="Z103" i="5"/>
  <c r="V103" i="5"/>
  <c r="DH102" i="5"/>
  <c r="DG102" i="5"/>
  <c r="DF102" i="5"/>
  <c r="DC102" i="5"/>
  <c r="DB102" i="5"/>
  <c r="DA102" i="5"/>
  <c r="CZ102" i="5"/>
  <c r="CY102" i="5"/>
  <c r="CX102" i="5"/>
  <c r="CW102" i="5"/>
  <c r="CV102" i="5"/>
  <c r="CU102" i="5"/>
  <c r="CT102" i="5"/>
  <c r="CS102" i="5"/>
  <c r="CR102" i="5"/>
  <c r="CQ102" i="5"/>
  <c r="CP102" i="5"/>
  <c r="CI102" i="5"/>
  <c r="DD102" i="5" s="1"/>
  <c r="BQ102" i="5"/>
  <c r="BP102" i="5"/>
  <c r="BO102" i="5"/>
  <c r="BO145" i="5" s="1"/>
  <c r="BL102" i="5"/>
  <c r="BK102" i="5"/>
  <c r="BJ102" i="5"/>
  <c r="BI102" i="5"/>
  <c r="BH102" i="5"/>
  <c r="BG102" i="5"/>
  <c r="BF102" i="5"/>
  <c r="BE102" i="5"/>
  <c r="BD102" i="5"/>
  <c r="BC102" i="5"/>
  <c r="BB102" i="5"/>
  <c r="BA102" i="5"/>
  <c r="AZ102" i="5"/>
  <c r="AY102" i="5"/>
  <c r="AR102" i="5"/>
  <c r="AB102" i="5" s="1"/>
  <c r="AA102" i="5" s="1"/>
  <c r="AW102" i="5" s="1"/>
  <c r="G102" i="5"/>
  <c r="DH101" i="5"/>
  <c r="DG101" i="5"/>
  <c r="DF101" i="5"/>
  <c r="DC101" i="5"/>
  <c r="DB101" i="5"/>
  <c r="DA101" i="5"/>
  <c r="CZ101" i="5"/>
  <c r="CY101" i="5"/>
  <c r="CX101" i="5"/>
  <c r="CW101" i="5"/>
  <c r="CV101" i="5"/>
  <c r="CU101" i="5"/>
  <c r="CT101" i="5"/>
  <c r="CS101" i="5"/>
  <c r="CR101" i="5"/>
  <c r="CQ101" i="5"/>
  <c r="CP101" i="5"/>
  <c r="BS101" i="5"/>
  <c r="BQ101" i="5"/>
  <c r="BP101" i="5"/>
  <c r="BL101" i="5"/>
  <c r="BK101" i="5"/>
  <c r="BJ101" i="5"/>
  <c r="BI101" i="5"/>
  <c r="BH101" i="5"/>
  <c r="BG101" i="5"/>
  <c r="BF101" i="5"/>
  <c r="BE101" i="5"/>
  <c r="BD101" i="5"/>
  <c r="BC101" i="5"/>
  <c r="BB101" i="5"/>
  <c r="BA101" i="5"/>
  <c r="AZ101" i="5"/>
  <c r="AY101" i="5"/>
  <c r="AB101" i="5"/>
  <c r="V101" i="5"/>
  <c r="DH100" i="5"/>
  <c r="DG100" i="5"/>
  <c r="DF100" i="5"/>
  <c r="DC100" i="5"/>
  <c r="DB100" i="5"/>
  <c r="DA100" i="5"/>
  <c r="CZ100" i="5"/>
  <c r="CZ113" i="5" s="1"/>
  <c r="CY100" i="5"/>
  <c r="CX100" i="5"/>
  <c r="CW100" i="5"/>
  <c r="CV100" i="5"/>
  <c r="CU100" i="5"/>
  <c r="CT100" i="5"/>
  <c r="CS100" i="5"/>
  <c r="CR100" i="5"/>
  <c r="CQ100" i="5"/>
  <c r="CP100" i="5"/>
  <c r="CI100" i="5"/>
  <c r="DD100" i="5" s="1"/>
  <c r="CH100" i="5"/>
  <c r="BQ100" i="5"/>
  <c r="BP100" i="5"/>
  <c r="BK100" i="5"/>
  <c r="BJ100" i="5"/>
  <c r="BI100" i="5"/>
  <c r="BH100" i="5"/>
  <c r="BG100" i="5"/>
  <c r="BF100" i="5"/>
  <c r="BE100" i="5"/>
  <c r="BD100" i="5"/>
  <c r="BC100" i="5"/>
  <c r="BB100" i="5"/>
  <c r="BA100" i="5"/>
  <c r="AZ100" i="5"/>
  <c r="AY100" i="5"/>
  <c r="AR100" i="5"/>
  <c r="BM100" i="5" s="1"/>
  <c r="AQ100" i="5"/>
  <c r="U100" i="5"/>
  <c r="U145" i="5" s="1"/>
  <c r="G100" i="5"/>
  <c r="DH99" i="5"/>
  <c r="DG99" i="5"/>
  <c r="DF99" i="5"/>
  <c r="DC99" i="5"/>
  <c r="DB99" i="5"/>
  <c r="DA99" i="5"/>
  <c r="CZ99" i="5"/>
  <c r="CY99" i="5"/>
  <c r="CX99" i="5"/>
  <c r="CW99" i="5"/>
  <c r="CV99" i="5"/>
  <c r="CU99" i="5"/>
  <c r="CT99" i="5"/>
  <c r="CS99" i="5"/>
  <c r="CR99" i="5"/>
  <c r="CQ99" i="5"/>
  <c r="CP99" i="5"/>
  <c r="CI99" i="5"/>
  <c r="DD99" i="5" s="1"/>
  <c r="BQ99" i="5"/>
  <c r="BP99" i="5"/>
  <c r="BL99" i="5"/>
  <c r="BK99" i="5"/>
  <c r="BJ99" i="5"/>
  <c r="BI99" i="5"/>
  <c r="BH99" i="5"/>
  <c r="BG99" i="5"/>
  <c r="BF99" i="5"/>
  <c r="BE99" i="5"/>
  <c r="BD99" i="5"/>
  <c r="BC99" i="5"/>
  <c r="BB99" i="5"/>
  <c r="BA99" i="5"/>
  <c r="AZ99" i="5"/>
  <c r="AY99" i="5"/>
  <c r="AR99" i="5"/>
  <c r="BM99" i="5" s="1"/>
  <c r="AB99" i="5"/>
  <c r="G99" i="5"/>
  <c r="DG98" i="5"/>
  <c r="DF98" i="5"/>
  <c r="DD98" i="5"/>
  <c r="DC98" i="5"/>
  <c r="DB98" i="5"/>
  <c r="DA98" i="5"/>
  <c r="CZ98" i="5"/>
  <c r="CY98" i="5"/>
  <c r="CX98" i="5"/>
  <c r="CW98" i="5"/>
  <c r="CV98" i="5"/>
  <c r="CU98" i="5"/>
  <c r="CT98" i="5"/>
  <c r="CS98" i="5"/>
  <c r="CR98" i="5"/>
  <c r="CQ98" i="5"/>
  <c r="CP98" i="5"/>
  <c r="CM98" i="5"/>
  <c r="BP98" i="5"/>
  <c r="BL98" i="5"/>
  <c r="BK98" i="5"/>
  <c r="BJ98" i="5"/>
  <c r="BI98" i="5"/>
  <c r="BH98" i="5"/>
  <c r="BG98" i="5"/>
  <c r="BF98" i="5"/>
  <c r="BE98" i="5"/>
  <c r="BD98" i="5"/>
  <c r="BC98" i="5"/>
  <c r="BB98" i="5"/>
  <c r="BA98" i="5"/>
  <c r="AZ98" i="5"/>
  <c r="AY98" i="5"/>
  <c r="AV98" i="5"/>
  <c r="AR98" i="5"/>
  <c r="BM98" i="5" s="1"/>
  <c r="Z98" i="5"/>
  <c r="V98" i="5"/>
  <c r="DH97" i="5"/>
  <c r="DG97" i="5"/>
  <c r="DF97" i="5"/>
  <c r="DC97" i="5"/>
  <c r="DB97" i="5"/>
  <c r="DA97" i="5"/>
  <c r="CZ97" i="5"/>
  <c r="CY97" i="5"/>
  <c r="CX97" i="5"/>
  <c r="CW97" i="5"/>
  <c r="CV97" i="5"/>
  <c r="CU97" i="5"/>
  <c r="CT97" i="5"/>
  <c r="CS97" i="5"/>
  <c r="CR97" i="5"/>
  <c r="CQ97" i="5"/>
  <c r="CP97" i="5"/>
  <c r="CI97" i="5"/>
  <c r="BS97" i="5" s="1"/>
  <c r="BQ97" i="5"/>
  <c r="BP97" i="5"/>
  <c r="BL97" i="5"/>
  <c r="BK97" i="5"/>
  <c r="BJ97" i="5"/>
  <c r="BI97" i="5"/>
  <c r="BH97" i="5"/>
  <c r="BG97" i="5"/>
  <c r="BF97" i="5"/>
  <c r="BE97" i="5"/>
  <c r="BD97" i="5"/>
  <c r="BC97" i="5"/>
  <c r="BB97" i="5"/>
  <c r="BA97" i="5"/>
  <c r="AZ97" i="5"/>
  <c r="AY97" i="5"/>
  <c r="AR97" i="5"/>
  <c r="AB97" i="5"/>
  <c r="V97" i="5"/>
  <c r="DH96" i="5"/>
  <c r="DG96" i="5"/>
  <c r="DF96" i="5"/>
  <c r="DC96" i="5"/>
  <c r="DB96" i="5"/>
  <c r="DA96" i="5"/>
  <c r="CZ96" i="5"/>
  <c r="CY96" i="5"/>
  <c r="CX96" i="5"/>
  <c r="CW96" i="5"/>
  <c r="CV96" i="5"/>
  <c r="CU96" i="5"/>
  <c r="CT96" i="5"/>
  <c r="CS96" i="5"/>
  <c r="CR96" i="5"/>
  <c r="CQ96" i="5"/>
  <c r="CP96" i="5"/>
  <c r="CI96" i="5"/>
  <c r="DD96" i="5" s="1"/>
  <c r="BQ96" i="5"/>
  <c r="BP96" i="5"/>
  <c r="BM96" i="5"/>
  <c r="BL96" i="5"/>
  <c r="BK96" i="5"/>
  <c r="BJ96" i="5"/>
  <c r="BI96" i="5"/>
  <c r="BH96" i="5"/>
  <c r="BG96" i="5"/>
  <c r="BF96" i="5"/>
  <c r="BE96" i="5"/>
  <c r="BD96" i="5"/>
  <c r="BC96" i="5"/>
  <c r="BB96" i="5"/>
  <c r="BA96" i="5"/>
  <c r="AZ96" i="5"/>
  <c r="AY96" i="5"/>
  <c r="AR96" i="5"/>
  <c r="AB96" i="5"/>
  <c r="AA96" i="5"/>
  <c r="AW96" i="5" s="1"/>
  <c r="V96" i="5"/>
  <c r="G96" i="5" s="1"/>
  <c r="DH95" i="5"/>
  <c r="DG95" i="5"/>
  <c r="DG113" i="5" s="1"/>
  <c r="DF95" i="5"/>
  <c r="DC95" i="5"/>
  <c r="DB95" i="5"/>
  <c r="DA95" i="5"/>
  <c r="CZ95" i="5"/>
  <c r="CY95" i="5"/>
  <c r="CX95" i="5"/>
  <c r="CW95" i="5"/>
  <c r="CV95" i="5"/>
  <c r="CU95" i="5"/>
  <c r="CT95" i="5"/>
  <c r="CS95" i="5"/>
  <c r="CR95" i="5"/>
  <c r="CQ95" i="5"/>
  <c r="CP95" i="5"/>
  <c r="CI95" i="5"/>
  <c r="BQ95" i="5"/>
  <c r="BP95" i="5"/>
  <c r="BL95" i="5"/>
  <c r="BK95" i="5"/>
  <c r="BJ95" i="5"/>
  <c r="BI95" i="5"/>
  <c r="BH95" i="5"/>
  <c r="BG95" i="5"/>
  <c r="BF95" i="5"/>
  <c r="BE95" i="5"/>
  <c r="BD95" i="5"/>
  <c r="BC95" i="5"/>
  <c r="BB95" i="5"/>
  <c r="BA95" i="5"/>
  <c r="AZ95" i="5"/>
  <c r="AY95" i="5"/>
  <c r="AR95" i="5"/>
  <c r="AB95" i="5" s="1"/>
  <c r="V95" i="5"/>
  <c r="BM95" i="5" s="1"/>
  <c r="G95" i="5"/>
  <c r="DE93" i="5"/>
  <c r="CL93" i="5"/>
  <c r="CK93" i="5"/>
  <c r="CI93" i="5"/>
  <c r="CH93" i="5"/>
  <c r="CG93" i="5"/>
  <c r="CD93" i="5"/>
  <c r="CC93" i="5"/>
  <c r="CB93" i="5"/>
  <c r="CA93" i="5"/>
  <c r="BZ93" i="5"/>
  <c r="BW93" i="5"/>
  <c r="BV93" i="5"/>
  <c r="BU93" i="5"/>
  <c r="BT93" i="5"/>
  <c r="BN93" i="5"/>
  <c r="AU93" i="5"/>
  <c r="AT93" i="5"/>
  <c r="AS93" i="5"/>
  <c r="AR93" i="5"/>
  <c r="AQ93" i="5"/>
  <c r="AP93" i="5"/>
  <c r="AM93" i="5"/>
  <c r="AL93" i="5"/>
  <c r="AK93" i="5"/>
  <c r="AJ93" i="5"/>
  <c r="AI93" i="5"/>
  <c r="AF93" i="5"/>
  <c r="AE93" i="5"/>
  <c r="AD93" i="5"/>
  <c r="Y93" i="5"/>
  <c r="X93" i="5"/>
  <c r="W93" i="5"/>
  <c r="V93" i="5"/>
  <c r="U93" i="5"/>
  <c r="T93" i="5"/>
  <c r="Q93" i="5"/>
  <c r="P93" i="5"/>
  <c r="O93" i="5"/>
  <c r="N93" i="5"/>
  <c r="M93" i="5"/>
  <c r="J93" i="5"/>
  <c r="I93" i="5"/>
  <c r="H93" i="5"/>
  <c r="DG92" i="5"/>
  <c r="DF92" i="5"/>
  <c r="DD92" i="5"/>
  <c r="DC92" i="5"/>
  <c r="DB92" i="5"/>
  <c r="DA92" i="5"/>
  <c r="CZ92" i="5"/>
  <c r="CY92" i="5"/>
  <c r="CX92" i="5"/>
  <c r="CW92" i="5"/>
  <c r="CV92" i="5"/>
  <c r="CU92" i="5"/>
  <c r="CT92" i="5"/>
  <c r="CS92" i="5"/>
  <c r="CR92" i="5"/>
  <c r="CQ92" i="5"/>
  <c r="CP92" i="5"/>
  <c r="CM92" i="5"/>
  <c r="BS92" i="5" s="1"/>
  <c r="BQ92" i="5"/>
  <c r="BP92" i="5"/>
  <c r="BO92" i="5"/>
  <c r="BM92" i="5"/>
  <c r="BL92" i="5"/>
  <c r="BK92" i="5"/>
  <c r="BJ92" i="5"/>
  <c r="BI92" i="5"/>
  <c r="BH92" i="5"/>
  <c r="BG92" i="5"/>
  <c r="BF92" i="5"/>
  <c r="BE92" i="5"/>
  <c r="BD92" i="5"/>
  <c r="BC92" i="5"/>
  <c r="BB92" i="5"/>
  <c r="BA92" i="5"/>
  <c r="AZ92" i="5"/>
  <c r="AY92" i="5"/>
  <c r="AV92" i="5"/>
  <c r="AB92" i="5"/>
  <c r="Z92" i="5"/>
  <c r="G92" i="5" s="1"/>
  <c r="DH91" i="5"/>
  <c r="DG91" i="5"/>
  <c r="DF91" i="5"/>
  <c r="DD91" i="5"/>
  <c r="DC91" i="5"/>
  <c r="DB91" i="5"/>
  <c r="CZ91" i="5"/>
  <c r="CY91" i="5"/>
  <c r="CX91" i="5"/>
  <c r="CW91" i="5"/>
  <c r="CV91" i="5"/>
  <c r="CU91" i="5"/>
  <c r="CT91" i="5"/>
  <c r="CS91" i="5"/>
  <c r="CR91" i="5"/>
  <c r="CQ91" i="5"/>
  <c r="CP91" i="5"/>
  <c r="CF91" i="5"/>
  <c r="BS91" i="5" s="1"/>
  <c r="BR91" i="5" s="1"/>
  <c r="CN91" i="5" s="1"/>
  <c r="BX91" i="5"/>
  <c r="BQ91" i="5"/>
  <c r="BP91" i="5"/>
  <c r="BO91" i="5"/>
  <c r="BM91" i="5"/>
  <c r="BL91" i="5"/>
  <c r="BK91" i="5"/>
  <c r="BI91" i="5"/>
  <c r="BH91" i="5"/>
  <c r="BG91" i="5"/>
  <c r="BF91" i="5"/>
  <c r="BE91" i="5"/>
  <c r="BD91" i="5"/>
  <c r="BC91" i="5"/>
  <c r="BA91" i="5"/>
  <c r="AZ91" i="5"/>
  <c r="AY91" i="5"/>
  <c r="AO91" i="5"/>
  <c r="AG91" i="5"/>
  <c r="BB91" i="5" s="1"/>
  <c r="S91" i="5"/>
  <c r="G91" i="5" s="1"/>
  <c r="DG90" i="5"/>
  <c r="DF90" i="5"/>
  <c r="DD90" i="5"/>
  <c r="DC90" i="5"/>
  <c r="DB90" i="5"/>
  <c r="DA90" i="5"/>
  <c r="CZ90" i="5"/>
  <c r="CY90" i="5"/>
  <c r="CX90" i="5"/>
  <c r="CW90" i="5"/>
  <c r="CV90" i="5"/>
  <c r="CU90" i="5"/>
  <c r="CT90" i="5"/>
  <c r="CR90" i="5"/>
  <c r="CQ90" i="5"/>
  <c r="CP90" i="5"/>
  <c r="BX90" i="5"/>
  <c r="BS90" i="5" s="1"/>
  <c r="BQ90" i="5"/>
  <c r="BP90" i="5"/>
  <c r="BM90" i="5"/>
  <c r="BL90" i="5"/>
  <c r="BK90" i="5"/>
  <c r="BJ90" i="5"/>
  <c r="BI90" i="5"/>
  <c r="BH90" i="5"/>
  <c r="BG90" i="5"/>
  <c r="BF90" i="5"/>
  <c r="BE90" i="5"/>
  <c r="BD90" i="5"/>
  <c r="BC90" i="5"/>
  <c r="BA90" i="5"/>
  <c r="AZ90" i="5"/>
  <c r="AY90" i="5"/>
  <c r="AG90" i="5"/>
  <c r="Z90" i="5"/>
  <c r="DH90" i="5" s="1"/>
  <c r="G90" i="5"/>
  <c r="DH89" i="5"/>
  <c r="DG89" i="5"/>
  <c r="DF89" i="5"/>
  <c r="DD89" i="5"/>
  <c r="DC89" i="5"/>
  <c r="DB89" i="5"/>
  <c r="DA89" i="5"/>
  <c r="CZ89" i="5"/>
  <c r="CY89" i="5"/>
  <c r="CX89" i="5"/>
  <c r="CW89" i="5"/>
  <c r="CV89" i="5"/>
  <c r="CU89" i="5"/>
  <c r="CT89" i="5"/>
  <c r="CR89" i="5"/>
  <c r="CQ89" i="5"/>
  <c r="CP89" i="5"/>
  <c r="BX89" i="5"/>
  <c r="CS89" i="5" s="1"/>
  <c r="BS89" i="5"/>
  <c r="BQ89" i="5"/>
  <c r="BP89" i="5"/>
  <c r="BM89" i="5"/>
  <c r="BL89" i="5"/>
  <c r="BK89" i="5"/>
  <c r="BJ89" i="5"/>
  <c r="BI89" i="5"/>
  <c r="BH89" i="5"/>
  <c r="BG89" i="5"/>
  <c r="BF89" i="5"/>
  <c r="BE89" i="5"/>
  <c r="BD89" i="5"/>
  <c r="BC89" i="5"/>
  <c r="BA89" i="5"/>
  <c r="AZ89" i="5"/>
  <c r="AY89" i="5"/>
  <c r="AG89" i="5"/>
  <c r="AB89" i="5" s="1"/>
  <c r="G89" i="5"/>
  <c r="DH88" i="5"/>
  <c r="DG88" i="5"/>
  <c r="DF88" i="5"/>
  <c r="DD88" i="5"/>
  <c r="DC88" i="5"/>
  <c r="DB88" i="5"/>
  <c r="DA88" i="5"/>
  <c r="CZ88" i="5"/>
  <c r="CY88" i="5"/>
  <c r="CX88" i="5"/>
  <c r="CW88" i="5"/>
  <c r="CV88" i="5"/>
  <c r="CU88" i="5"/>
  <c r="CT88" i="5"/>
  <c r="CS88" i="5"/>
  <c r="CR88" i="5"/>
  <c r="CQ88" i="5"/>
  <c r="CP88" i="5"/>
  <c r="BX88" i="5"/>
  <c r="BS88" i="5"/>
  <c r="BQ88" i="5"/>
  <c r="BP88" i="5"/>
  <c r="BM88" i="5"/>
  <c r="BL88" i="5"/>
  <c r="BK88" i="5"/>
  <c r="BJ88" i="5"/>
  <c r="BI88" i="5"/>
  <c r="BH88" i="5"/>
  <c r="BG88" i="5"/>
  <c r="BF88" i="5"/>
  <c r="BE88" i="5"/>
  <c r="BD88" i="5"/>
  <c r="BC88" i="5"/>
  <c r="BA88" i="5"/>
  <c r="AZ88" i="5"/>
  <c r="AY88" i="5"/>
  <c r="AG88" i="5"/>
  <c r="BB88" i="5" s="1"/>
  <c r="AB88" i="5"/>
  <c r="G88" i="5"/>
  <c r="DH87" i="5"/>
  <c r="DG87" i="5"/>
  <c r="DF87" i="5"/>
  <c r="DD87" i="5"/>
  <c r="DC87" i="5"/>
  <c r="DB87" i="5"/>
  <c r="DA87" i="5"/>
  <c r="CZ87" i="5"/>
  <c r="CY87" i="5"/>
  <c r="CX87" i="5"/>
  <c r="CW87" i="5"/>
  <c r="CV87" i="5"/>
  <c r="CU87" i="5"/>
  <c r="CT87" i="5"/>
  <c r="CS87" i="5"/>
  <c r="CR87" i="5"/>
  <c r="CQ87" i="5"/>
  <c r="CO87" i="5" s="1"/>
  <c r="CP87" i="5"/>
  <c r="BS87" i="5"/>
  <c r="BQ87" i="5"/>
  <c r="BP87" i="5"/>
  <c r="BO87" i="5"/>
  <c r="BO93" i="5" s="1"/>
  <c r="BM87" i="5"/>
  <c r="BL87" i="5"/>
  <c r="BK87" i="5"/>
  <c r="BJ87" i="5"/>
  <c r="BI87" i="5"/>
  <c r="BH87" i="5"/>
  <c r="BG87" i="5"/>
  <c r="BF87" i="5"/>
  <c r="BE87" i="5"/>
  <c r="BD87" i="5"/>
  <c r="BC87" i="5"/>
  <c r="BB87" i="5"/>
  <c r="BA87" i="5"/>
  <c r="AZ87" i="5"/>
  <c r="AY87" i="5"/>
  <c r="AB87" i="5"/>
  <c r="G87" i="5"/>
  <c r="DH86" i="5"/>
  <c r="DG86" i="5"/>
  <c r="DF86" i="5"/>
  <c r="DD86" i="5"/>
  <c r="DC86" i="5"/>
  <c r="DB86" i="5"/>
  <c r="DA86" i="5"/>
  <c r="CZ86" i="5"/>
  <c r="CY86" i="5"/>
  <c r="CX86" i="5"/>
  <c r="CW86" i="5"/>
  <c r="CV86" i="5"/>
  <c r="CU86" i="5"/>
  <c r="CT86" i="5"/>
  <c r="CS86" i="5"/>
  <c r="CR86" i="5"/>
  <c r="CQ86" i="5"/>
  <c r="CP86" i="5"/>
  <c r="BX86" i="5"/>
  <c r="BS86" i="5" s="1"/>
  <c r="BQ86" i="5"/>
  <c r="BP86" i="5"/>
  <c r="BM86" i="5"/>
  <c r="BL86" i="5"/>
  <c r="BK86" i="5"/>
  <c r="BJ86" i="5"/>
  <c r="BI86" i="5"/>
  <c r="BH86" i="5"/>
  <c r="BG86" i="5"/>
  <c r="BF86" i="5"/>
  <c r="BE86" i="5"/>
  <c r="BD86" i="5"/>
  <c r="BC86" i="5"/>
  <c r="BA86" i="5"/>
  <c r="AZ86" i="5"/>
  <c r="AY86" i="5"/>
  <c r="AG86" i="5"/>
  <c r="G86" i="5"/>
  <c r="BR86" i="5" s="1"/>
  <c r="CN86" i="5" s="1"/>
  <c r="DH85" i="5"/>
  <c r="DG85" i="5"/>
  <c r="DF85" i="5"/>
  <c r="DD85" i="5"/>
  <c r="DC85" i="5"/>
  <c r="DB85" i="5"/>
  <c r="CZ85" i="5"/>
  <c r="CY85" i="5"/>
  <c r="CX85" i="5"/>
  <c r="CW85" i="5"/>
  <c r="CV85" i="5"/>
  <c r="CU85" i="5"/>
  <c r="CT85" i="5"/>
  <c r="CS85" i="5"/>
  <c r="CR85" i="5"/>
  <c r="CQ85" i="5"/>
  <c r="CP85" i="5"/>
  <c r="CF85" i="5"/>
  <c r="DA85" i="5" s="1"/>
  <c r="BQ85" i="5"/>
  <c r="BP85" i="5"/>
  <c r="BO85" i="5"/>
  <c r="BM85" i="5"/>
  <c r="BL85" i="5"/>
  <c r="BK85" i="5"/>
  <c r="BI85" i="5"/>
  <c r="BH85" i="5"/>
  <c r="BG85" i="5"/>
  <c r="BF85" i="5"/>
  <c r="BE85" i="5"/>
  <c r="BD85" i="5"/>
  <c r="BC85" i="5"/>
  <c r="BA85" i="5"/>
  <c r="AZ85" i="5"/>
  <c r="AY85" i="5"/>
  <c r="AO85" i="5"/>
  <c r="BJ85" i="5" s="1"/>
  <c r="AG85" i="5"/>
  <c r="AB85" i="5" s="1"/>
  <c r="G85" i="5"/>
  <c r="DH84" i="5"/>
  <c r="DG84" i="5"/>
  <c r="DF84" i="5"/>
  <c r="DD84" i="5"/>
  <c r="DC84" i="5"/>
  <c r="DB84" i="5"/>
  <c r="DA84" i="5"/>
  <c r="CZ84" i="5"/>
  <c r="CY84" i="5"/>
  <c r="CX84" i="5"/>
  <c r="CW84" i="5"/>
  <c r="CV84" i="5"/>
  <c r="CU84" i="5"/>
  <c r="CT84" i="5"/>
  <c r="CS84" i="5"/>
  <c r="CR84" i="5"/>
  <c r="CQ84" i="5"/>
  <c r="CP84" i="5"/>
  <c r="BS84" i="5"/>
  <c r="BQ84" i="5"/>
  <c r="BP84" i="5"/>
  <c r="BM84" i="5"/>
  <c r="BL84" i="5"/>
  <c r="BK84" i="5"/>
  <c r="BI84" i="5"/>
  <c r="BH84" i="5"/>
  <c r="BG84" i="5"/>
  <c r="BF84" i="5"/>
  <c r="BE84" i="5"/>
  <c r="BD84" i="5"/>
  <c r="BC84" i="5"/>
  <c r="BB84" i="5"/>
  <c r="BA84" i="5"/>
  <c r="AZ84" i="5"/>
  <c r="AY84" i="5"/>
  <c r="AB84" i="5"/>
  <c r="S84" i="5"/>
  <c r="DH83" i="5"/>
  <c r="DG83" i="5"/>
  <c r="DF83" i="5"/>
  <c r="DD83" i="5"/>
  <c r="DC83" i="5"/>
  <c r="DB83" i="5"/>
  <c r="DA83" i="5"/>
  <c r="CZ83" i="5"/>
  <c r="CY83" i="5"/>
  <c r="CX83" i="5"/>
  <c r="CW83" i="5"/>
  <c r="CV83" i="5"/>
  <c r="CU83" i="5"/>
  <c r="CT83" i="5"/>
  <c r="CR83" i="5"/>
  <c r="CQ83" i="5"/>
  <c r="CP83" i="5"/>
  <c r="BX83" i="5"/>
  <c r="CS83" i="5" s="1"/>
  <c r="BS83" i="5"/>
  <c r="BR83" i="5"/>
  <c r="CN83" i="5" s="1"/>
  <c r="BQ83" i="5"/>
  <c r="BP83" i="5"/>
  <c r="BM83" i="5"/>
  <c r="BL83" i="5"/>
  <c r="BK83" i="5"/>
  <c r="BJ83" i="5"/>
  <c r="BI83" i="5"/>
  <c r="BH83" i="5"/>
  <c r="BG83" i="5"/>
  <c r="BF83" i="5"/>
  <c r="BE83" i="5"/>
  <c r="BD83" i="5"/>
  <c r="BC83" i="5"/>
  <c r="BA83" i="5"/>
  <c r="AZ83" i="5"/>
  <c r="AY83" i="5"/>
  <c r="AG83" i="5"/>
  <c r="G83" i="5"/>
  <c r="DH82" i="5"/>
  <c r="DG82" i="5"/>
  <c r="DF82" i="5"/>
  <c r="DD82" i="5"/>
  <c r="DC82" i="5"/>
  <c r="DB82" i="5"/>
  <c r="CZ82" i="5"/>
  <c r="CY82" i="5"/>
  <c r="CX82" i="5"/>
  <c r="CW82" i="5"/>
  <c r="CV82" i="5"/>
  <c r="CU82" i="5"/>
  <c r="CT82" i="5"/>
  <c r="CS82" i="5"/>
  <c r="CR82" i="5"/>
  <c r="CQ82" i="5"/>
  <c r="CP82" i="5"/>
  <c r="CF82" i="5"/>
  <c r="BS82" i="5" s="1"/>
  <c r="BQ82" i="5"/>
  <c r="BP82" i="5"/>
  <c r="BM82" i="5"/>
  <c r="BL82" i="5"/>
  <c r="BK82" i="5"/>
  <c r="BI82" i="5"/>
  <c r="BH82" i="5"/>
  <c r="BG82" i="5"/>
  <c r="BF82" i="5"/>
  <c r="BE82" i="5"/>
  <c r="BD82" i="5"/>
  <c r="BC82" i="5"/>
  <c r="BA82" i="5"/>
  <c r="AZ82" i="5"/>
  <c r="AY82" i="5"/>
  <c r="AO82" i="5"/>
  <c r="AG82" i="5"/>
  <c r="BB82" i="5" s="1"/>
  <c r="S82" i="5"/>
  <c r="DA82" i="5" s="1"/>
  <c r="G82" i="5"/>
  <c r="DH81" i="5"/>
  <c r="DG81" i="5"/>
  <c r="DF81" i="5"/>
  <c r="DD81" i="5"/>
  <c r="DC81" i="5"/>
  <c r="DB81" i="5"/>
  <c r="DA81" i="5"/>
  <c r="CZ81" i="5"/>
  <c r="CY81" i="5"/>
  <c r="CX81" i="5"/>
  <c r="CW81" i="5"/>
  <c r="CV81" i="5"/>
  <c r="CU81" i="5"/>
  <c r="CT81" i="5"/>
  <c r="CS81" i="5"/>
  <c r="CR81" i="5"/>
  <c r="CQ81" i="5"/>
  <c r="CP81" i="5"/>
  <c r="BS81" i="5"/>
  <c r="BQ81" i="5"/>
  <c r="BP81" i="5"/>
  <c r="BM81" i="5"/>
  <c r="BL81" i="5"/>
  <c r="BK81" i="5"/>
  <c r="BJ81" i="5"/>
  <c r="BI81" i="5"/>
  <c r="BH81" i="5"/>
  <c r="BG81" i="5"/>
  <c r="BF81" i="5"/>
  <c r="BE81" i="5"/>
  <c r="BD81" i="5"/>
  <c r="BC81" i="5"/>
  <c r="BA81" i="5"/>
  <c r="AZ81" i="5"/>
  <c r="AY81" i="5"/>
  <c r="AG81" i="5"/>
  <c r="BB81" i="5" s="1"/>
  <c r="G81" i="5"/>
  <c r="DH80" i="5"/>
  <c r="DG80" i="5"/>
  <c r="DF80" i="5"/>
  <c r="DD80" i="5"/>
  <c r="DC80" i="5"/>
  <c r="DB80" i="5"/>
  <c r="DA80" i="5"/>
  <c r="CZ80" i="5"/>
  <c r="CY80" i="5"/>
  <c r="CX80" i="5"/>
  <c r="CW80" i="5"/>
  <c r="CV80" i="5"/>
  <c r="CU80" i="5"/>
  <c r="CT80" i="5"/>
  <c r="CR80" i="5"/>
  <c r="CQ80" i="5"/>
  <c r="CP80" i="5"/>
  <c r="BX80" i="5"/>
  <c r="CS80" i="5" s="1"/>
  <c r="BQ80" i="5"/>
  <c r="BP80" i="5"/>
  <c r="BM80" i="5"/>
  <c r="BL80" i="5"/>
  <c r="BK80" i="5"/>
  <c r="BJ80" i="5"/>
  <c r="BI80" i="5"/>
  <c r="BH80" i="5"/>
  <c r="BG80" i="5"/>
  <c r="BF80" i="5"/>
  <c r="BE80" i="5"/>
  <c r="BD80" i="5"/>
  <c r="BC80" i="5"/>
  <c r="BA80" i="5"/>
  <c r="AZ80" i="5"/>
  <c r="AY80" i="5"/>
  <c r="AG80" i="5"/>
  <c r="AB80" i="5" s="1"/>
  <c r="G80" i="5"/>
  <c r="DH79" i="5"/>
  <c r="DD79" i="5"/>
  <c r="DC79" i="5"/>
  <c r="DB79" i="5"/>
  <c r="DA79" i="5"/>
  <c r="CZ79" i="5"/>
  <c r="CY79" i="5"/>
  <c r="CR79" i="5"/>
  <c r="CQ79" i="5"/>
  <c r="CP79" i="5"/>
  <c r="BX79" i="5"/>
  <c r="BQ79" i="5"/>
  <c r="BP79" i="5"/>
  <c r="BM79" i="5"/>
  <c r="BL79" i="5"/>
  <c r="BK79" i="5"/>
  <c r="BJ79" i="5"/>
  <c r="BI79" i="5"/>
  <c r="BH79" i="5"/>
  <c r="BA79" i="5"/>
  <c r="AZ79" i="5"/>
  <c r="AY79" i="5"/>
  <c r="AG79" i="5"/>
  <c r="AB79" i="5" s="1"/>
  <c r="G79" i="5"/>
  <c r="DH78" i="5"/>
  <c r="DD78" i="5"/>
  <c r="DC78" i="5"/>
  <c r="DB78" i="5"/>
  <c r="DA78" i="5"/>
  <c r="CZ78" i="5"/>
  <c r="CY78" i="5"/>
  <c r="CR78" i="5"/>
  <c r="CQ78" i="5"/>
  <c r="CP78" i="5"/>
  <c r="BX78" i="5"/>
  <c r="CS78" i="5" s="1"/>
  <c r="BS78" i="5"/>
  <c r="BQ78" i="5"/>
  <c r="BP78" i="5"/>
  <c r="BM78" i="5"/>
  <c r="BL78" i="5"/>
  <c r="BK78" i="5"/>
  <c r="BJ78" i="5"/>
  <c r="BI78" i="5"/>
  <c r="BH78" i="5"/>
  <c r="BA78" i="5"/>
  <c r="AZ78" i="5"/>
  <c r="AY78" i="5"/>
  <c r="AG78" i="5"/>
  <c r="BB78" i="5" s="1"/>
  <c r="K78" i="5"/>
  <c r="G78" i="5" s="1"/>
  <c r="DH77" i="5"/>
  <c r="DD77" i="5"/>
  <c r="DC77" i="5"/>
  <c r="DB77" i="5"/>
  <c r="DA77" i="5"/>
  <c r="CZ77" i="5"/>
  <c r="CY77" i="5"/>
  <c r="CR77" i="5"/>
  <c r="CQ77" i="5"/>
  <c r="CP77" i="5"/>
  <c r="BS77" i="5"/>
  <c r="BQ77" i="5"/>
  <c r="BP77" i="5"/>
  <c r="BM77" i="5"/>
  <c r="BL77" i="5"/>
  <c r="BJ77" i="5"/>
  <c r="BI77" i="5"/>
  <c r="BH77" i="5"/>
  <c r="BA77" i="5"/>
  <c r="AZ77" i="5"/>
  <c r="AY77" i="5"/>
  <c r="AB77" i="5"/>
  <c r="K77" i="5"/>
  <c r="DH76" i="5"/>
  <c r="DD76" i="5"/>
  <c r="DC76" i="5"/>
  <c r="DB76" i="5"/>
  <c r="DA76" i="5"/>
  <c r="CZ76" i="5"/>
  <c r="CY76" i="5"/>
  <c r="CR76" i="5"/>
  <c r="CQ76" i="5"/>
  <c r="CP76" i="5"/>
  <c r="BS76" i="5"/>
  <c r="BQ76" i="5"/>
  <c r="BP76" i="5"/>
  <c r="BM76" i="5"/>
  <c r="BL76" i="5"/>
  <c r="BJ76" i="5"/>
  <c r="BI76" i="5"/>
  <c r="BH76" i="5"/>
  <c r="BB76" i="5"/>
  <c r="BA76" i="5"/>
  <c r="AZ76" i="5"/>
  <c r="AY76" i="5"/>
  <c r="AB76" i="5"/>
  <c r="K76" i="5"/>
  <c r="CS76" i="5" s="1"/>
  <c r="DG75" i="5"/>
  <c r="DF75" i="5"/>
  <c r="DD75" i="5"/>
  <c r="DC75" i="5"/>
  <c r="DB75" i="5"/>
  <c r="DA75" i="5"/>
  <c r="CZ75" i="5"/>
  <c r="CY75" i="5"/>
  <c r="CX75" i="5"/>
  <c r="CW75" i="5"/>
  <c r="CV75" i="5"/>
  <c r="CU75" i="5"/>
  <c r="CT75" i="5"/>
  <c r="CS75" i="5"/>
  <c r="CR75" i="5"/>
  <c r="CQ75" i="5"/>
  <c r="CP75" i="5"/>
  <c r="CM75" i="5"/>
  <c r="BS75" i="5" s="1"/>
  <c r="BP75" i="5"/>
  <c r="BM75" i="5"/>
  <c r="BL75" i="5"/>
  <c r="BK75" i="5"/>
  <c r="BJ75" i="5"/>
  <c r="BI75" i="5"/>
  <c r="BH75" i="5"/>
  <c r="BG75" i="5"/>
  <c r="BF75" i="5"/>
  <c r="BE75" i="5"/>
  <c r="BD75" i="5"/>
  <c r="BC75" i="5"/>
  <c r="BB75" i="5"/>
  <c r="BA75" i="5"/>
  <c r="AZ75" i="5"/>
  <c r="AY75" i="5"/>
  <c r="AV75" i="5"/>
  <c r="AB75" i="5" s="1"/>
  <c r="Z75" i="5"/>
  <c r="G75" i="5" s="1"/>
  <c r="DH74" i="5"/>
  <c r="DG74" i="5"/>
  <c r="DF74" i="5"/>
  <c r="DD74" i="5"/>
  <c r="DC74" i="5"/>
  <c r="DB74" i="5"/>
  <c r="DA74" i="5"/>
  <c r="CZ74" i="5"/>
  <c r="CY74" i="5"/>
  <c r="CX74" i="5"/>
  <c r="CW74" i="5"/>
  <c r="CV74" i="5"/>
  <c r="CU74" i="5"/>
  <c r="CT74" i="5"/>
  <c r="CR74" i="5"/>
  <c r="CQ74" i="5"/>
  <c r="CP74" i="5"/>
  <c r="BX74" i="5"/>
  <c r="BS74" i="5" s="1"/>
  <c r="BQ74" i="5"/>
  <c r="BP74" i="5"/>
  <c r="BM74" i="5"/>
  <c r="BL74" i="5"/>
  <c r="BK74" i="5"/>
  <c r="BJ74" i="5"/>
  <c r="BI74" i="5"/>
  <c r="BH74" i="5"/>
  <c r="BG74" i="5"/>
  <c r="BF74" i="5"/>
  <c r="BE74" i="5"/>
  <c r="BD74" i="5"/>
  <c r="BC74" i="5"/>
  <c r="BA74" i="5"/>
  <c r="AZ74" i="5"/>
  <c r="AY74" i="5"/>
  <c r="AG74" i="5"/>
  <c r="AB74" i="5" s="1"/>
  <c r="K74" i="5"/>
  <c r="DH73" i="5"/>
  <c r="DG73" i="5"/>
  <c r="DF73" i="5"/>
  <c r="DD73" i="5"/>
  <c r="DC73" i="5"/>
  <c r="DB73" i="5"/>
  <c r="DA73" i="5"/>
  <c r="CZ73" i="5"/>
  <c r="CY73" i="5"/>
  <c r="CX73" i="5"/>
  <c r="CW73" i="5"/>
  <c r="CV73" i="5"/>
  <c r="CU73" i="5"/>
  <c r="CT73" i="5"/>
  <c r="CS73" i="5"/>
  <c r="CR73" i="5"/>
  <c r="CQ73" i="5"/>
  <c r="CP73" i="5"/>
  <c r="BS73" i="5"/>
  <c r="BQ73" i="5"/>
  <c r="BP73" i="5"/>
  <c r="BM73" i="5"/>
  <c r="BL73" i="5"/>
  <c r="BK73" i="5"/>
  <c r="BJ73" i="5"/>
  <c r="BI73" i="5"/>
  <c r="BH73" i="5"/>
  <c r="BG73" i="5"/>
  <c r="BF73" i="5"/>
  <c r="BE73" i="5"/>
  <c r="BD73" i="5"/>
  <c r="BC73" i="5"/>
  <c r="BA73" i="5"/>
  <c r="AZ73" i="5"/>
  <c r="AY73" i="5"/>
  <c r="AG73" i="5"/>
  <c r="AB73" i="5" s="1"/>
  <c r="K73" i="5"/>
  <c r="DH72" i="5"/>
  <c r="DG72" i="5"/>
  <c r="DF72" i="5"/>
  <c r="DD72" i="5"/>
  <c r="DC72" i="5"/>
  <c r="DB72" i="5"/>
  <c r="DA72" i="5"/>
  <c r="CZ72" i="5"/>
  <c r="CY72" i="5"/>
  <c r="CX72" i="5"/>
  <c r="CW72" i="5"/>
  <c r="CV72" i="5"/>
  <c r="CU72" i="5"/>
  <c r="CT72" i="5"/>
  <c r="CR72" i="5"/>
  <c r="CQ72" i="5"/>
  <c r="CP72" i="5"/>
  <c r="BX72" i="5"/>
  <c r="CS72" i="5" s="1"/>
  <c r="BS72" i="5"/>
  <c r="BQ72" i="5"/>
  <c r="BP72" i="5"/>
  <c r="BO72" i="5"/>
  <c r="BM72" i="5"/>
  <c r="BL72" i="5"/>
  <c r="BK72" i="5"/>
  <c r="BJ72" i="5"/>
  <c r="BI72" i="5"/>
  <c r="BH72" i="5"/>
  <c r="BG72" i="5"/>
  <c r="BF72" i="5"/>
  <c r="BE72" i="5"/>
  <c r="BD72" i="5"/>
  <c r="BC72" i="5"/>
  <c r="BA72" i="5"/>
  <c r="AZ72" i="5"/>
  <c r="AY72" i="5"/>
  <c r="AG72" i="5"/>
  <c r="AB72" i="5" s="1"/>
  <c r="G72" i="5"/>
  <c r="AA72" i="5" s="1"/>
  <c r="AW72" i="5" s="1"/>
  <c r="DH71" i="5"/>
  <c r="DG71" i="5"/>
  <c r="DF71" i="5"/>
  <c r="DD71" i="5"/>
  <c r="DC71" i="5"/>
  <c r="DB71" i="5"/>
  <c r="DA71" i="5"/>
  <c r="CZ71" i="5"/>
  <c r="CY71" i="5"/>
  <c r="CX71" i="5"/>
  <c r="CW71" i="5"/>
  <c r="CV71" i="5"/>
  <c r="CU71" i="5"/>
  <c r="CT71" i="5"/>
  <c r="CR71" i="5"/>
  <c r="CQ71" i="5"/>
  <c r="CP71" i="5"/>
  <c r="BX71" i="5"/>
  <c r="CS71" i="5" s="1"/>
  <c r="BS71" i="5"/>
  <c r="BQ71" i="5"/>
  <c r="BP71" i="5"/>
  <c r="BO71" i="5"/>
  <c r="BM71" i="5"/>
  <c r="BL71" i="5"/>
  <c r="BK71" i="5"/>
  <c r="BJ71" i="5"/>
  <c r="BI71" i="5"/>
  <c r="BH71" i="5"/>
  <c r="BG71" i="5"/>
  <c r="BF71" i="5"/>
  <c r="BE71" i="5"/>
  <c r="BD71" i="5"/>
  <c r="BC71" i="5"/>
  <c r="BA71" i="5"/>
  <c r="AZ71" i="5"/>
  <c r="AY71" i="5"/>
  <c r="AG71" i="5"/>
  <c r="BB71" i="5" s="1"/>
  <c r="G71" i="5"/>
  <c r="DG70" i="5"/>
  <c r="DF70" i="5"/>
  <c r="DD70" i="5"/>
  <c r="DC70" i="5"/>
  <c r="DB70" i="5"/>
  <c r="DA70" i="5"/>
  <c r="CZ70" i="5"/>
  <c r="CY70" i="5"/>
  <c r="CX70" i="5"/>
  <c r="CW70" i="5"/>
  <c r="CV70" i="5"/>
  <c r="CU70" i="5"/>
  <c r="CT70" i="5"/>
  <c r="CS70" i="5"/>
  <c r="CR70" i="5"/>
  <c r="CQ70" i="5"/>
  <c r="CP70" i="5"/>
  <c r="CM70" i="5"/>
  <c r="BS70" i="5" s="1"/>
  <c r="CF70" i="5"/>
  <c r="BP70" i="5"/>
  <c r="BM70" i="5"/>
  <c r="BL70" i="5"/>
  <c r="BK70" i="5"/>
  <c r="BI70" i="5"/>
  <c r="BH70" i="5"/>
  <c r="BG70" i="5"/>
  <c r="BF70" i="5"/>
  <c r="BE70" i="5"/>
  <c r="BD70" i="5"/>
  <c r="BC70" i="5"/>
  <c r="BB70" i="5"/>
  <c r="BA70" i="5"/>
  <c r="AZ70" i="5"/>
  <c r="AY70" i="5"/>
  <c r="AV70" i="5"/>
  <c r="AO70" i="5"/>
  <c r="Z70" i="5"/>
  <c r="DH69" i="5"/>
  <c r="DG69" i="5"/>
  <c r="DF69" i="5"/>
  <c r="DD69" i="5"/>
  <c r="DC69" i="5"/>
  <c r="DB69" i="5"/>
  <c r="DA69" i="5"/>
  <c r="CZ69" i="5"/>
  <c r="CY69" i="5"/>
  <c r="CX69" i="5"/>
  <c r="CW69" i="5"/>
  <c r="CV69" i="5"/>
  <c r="CU69" i="5"/>
  <c r="CT69" i="5"/>
  <c r="CS69" i="5"/>
  <c r="CR69" i="5"/>
  <c r="CQ69" i="5"/>
  <c r="CP69" i="5"/>
  <c r="BS69" i="5"/>
  <c r="BR69" i="5"/>
  <c r="CN69" i="5" s="1"/>
  <c r="BQ69" i="5"/>
  <c r="BP69" i="5"/>
  <c r="BO69" i="5"/>
  <c r="BM69" i="5"/>
  <c r="BL69" i="5"/>
  <c r="BK69" i="5"/>
  <c r="BJ69" i="5"/>
  <c r="BI69" i="5"/>
  <c r="BH69" i="5"/>
  <c r="BG69" i="5"/>
  <c r="BF69" i="5"/>
  <c r="BE69" i="5"/>
  <c r="BD69" i="5"/>
  <c r="BC69" i="5"/>
  <c r="BB69" i="5"/>
  <c r="BA69" i="5"/>
  <c r="AZ69" i="5"/>
  <c r="AX69" i="5" s="1"/>
  <c r="AY69" i="5"/>
  <c r="AB69" i="5"/>
  <c r="Z69" i="5"/>
  <c r="G69" i="5"/>
  <c r="AA69" i="5" s="1"/>
  <c r="AW69" i="5" s="1"/>
  <c r="DG68" i="5"/>
  <c r="DF68" i="5"/>
  <c r="DD68" i="5"/>
  <c r="DC68" i="5"/>
  <c r="DB68" i="5"/>
  <c r="DA68" i="5"/>
  <c r="CZ68" i="5"/>
  <c r="CY68" i="5"/>
  <c r="CX68" i="5"/>
  <c r="CW68" i="5"/>
  <c r="CV68" i="5"/>
  <c r="CU68" i="5"/>
  <c r="CT68" i="5"/>
  <c r="CS68" i="5"/>
  <c r="CR68" i="5"/>
  <c r="CQ68" i="5"/>
  <c r="CP68" i="5"/>
  <c r="CM68" i="5"/>
  <c r="BS68" i="5" s="1"/>
  <c r="BP68" i="5"/>
  <c r="BM68" i="5"/>
  <c r="BL68" i="5"/>
  <c r="BK68" i="5"/>
  <c r="BJ68" i="5"/>
  <c r="BI68" i="5"/>
  <c r="BH68" i="5"/>
  <c r="BG68" i="5"/>
  <c r="BF68" i="5"/>
  <c r="BE68" i="5"/>
  <c r="BD68" i="5"/>
  <c r="BC68" i="5"/>
  <c r="BB68" i="5"/>
  <c r="BA68" i="5"/>
  <c r="AZ68" i="5"/>
  <c r="AY68" i="5"/>
  <c r="AV68" i="5"/>
  <c r="AB68" i="5" s="1"/>
  <c r="Z68" i="5"/>
  <c r="G68" i="5" s="1"/>
  <c r="DG67" i="5"/>
  <c r="DF67" i="5"/>
  <c r="DD67" i="5"/>
  <c r="DC67" i="5"/>
  <c r="DB67" i="5"/>
  <c r="DA67" i="5"/>
  <c r="CZ67" i="5"/>
  <c r="CY67" i="5"/>
  <c r="CX67" i="5"/>
  <c r="CW67" i="5"/>
  <c r="CV67" i="5"/>
  <c r="CU67" i="5"/>
  <c r="CT67" i="5"/>
  <c r="CS67" i="5"/>
  <c r="CR67" i="5"/>
  <c r="CQ67" i="5"/>
  <c r="CP67" i="5"/>
  <c r="CM67" i="5"/>
  <c r="BS67" i="5"/>
  <c r="BP67" i="5"/>
  <c r="BM67" i="5"/>
  <c r="BL67" i="5"/>
  <c r="BK67" i="5"/>
  <c r="BJ67" i="5"/>
  <c r="BI67" i="5"/>
  <c r="BH67" i="5"/>
  <c r="BG67" i="5"/>
  <c r="BF67" i="5"/>
  <c r="BE67" i="5"/>
  <c r="BD67" i="5"/>
  <c r="BC67" i="5"/>
  <c r="BB67" i="5"/>
  <c r="BA67" i="5"/>
  <c r="AZ67" i="5"/>
  <c r="AY67" i="5"/>
  <c r="AV67" i="5"/>
  <c r="AB67" i="5" s="1"/>
  <c r="Z67" i="5"/>
  <c r="DH66" i="5"/>
  <c r="DG66" i="5"/>
  <c r="DF66" i="5"/>
  <c r="DD66" i="5"/>
  <c r="DC66" i="5"/>
  <c r="DB66" i="5"/>
  <c r="DA66" i="5"/>
  <c r="CY66" i="5"/>
  <c r="CX66" i="5"/>
  <c r="CW66" i="5"/>
  <c r="CV66" i="5"/>
  <c r="CU66" i="5"/>
  <c r="CT66" i="5"/>
  <c r="CR66" i="5"/>
  <c r="CQ66" i="5"/>
  <c r="CP66" i="5"/>
  <c r="BX66" i="5"/>
  <c r="CE66" i="5" s="1"/>
  <c r="BQ66" i="5"/>
  <c r="BP66" i="5"/>
  <c r="BM66" i="5"/>
  <c r="BL66" i="5"/>
  <c r="BK66" i="5"/>
  <c r="BJ66" i="5"/>
  <c r="BH66" i="5"/>
  <c r="BG66" i="5"/>
  <c r="BF66" i="5"/>
  <c r="BE66" i="5"/>
  <c r="BD66" i="5"/>
  <c r="BC66" i="5"/>
  <c r="BA66" i="5"/>
  <c r="AZ66" i="5"/>
  <c r="AY66" i="5"/>
  <c r="AN66" i="5"/>
  <c r="BI66" i="5" s="1"/>
  <c r="AG66" i="5"/>
  <c r="R66" i="5"/>
  <c r="R142" i="5" s="1"/>
  <c r="K66" i="5"/>
  <c r="DH65" i="5"/>
  <c r="DG65" i="5"/>
  <c r="DF65" i="5"/>
  <c r="DD65" i="5"/>
  <c r="DC65" i="5"/>
  <c r="DB65" i="5"/>
  <c r="CZ65" i="5"/>
  <c r="CY65" i="5"/>
  <c r="CX65" i="5"/>
  <c r="CW65" i="5"/>
  <c r="CV65" i="5"/>
  <c r="CU65" i="5"/>
  <c r="CT65" i="5"/>
  <c r="CR65" i="5"/>
  <c r="CQ65" i="5"/>
  <c r="CP65" i="5"/>
  <c r="BX65" i="5"/>
  <c r="CF65" i="5" s="1"/>
  <c r="BQ65" i="5"/>
  <c r="BP65" i="5"/>
  <c r="BM65" i="5"/>
  <c r="BL65" i="5"/>
  <c r="BK65" i="5"/>
  <c r="BI65" i="5"/>
  <c r="BH65" i="5"/>
  <c r="BG65" i="5"/>
  <c r="BF65" i="5"/>
  <c r="BE65" i="5"/>
  <c r="BD65" i="5"/>
  <c r="BC65" i="5"/>
  <c r="BA65" i="5"/>
  <c r="AZ65" i="5"/>
  <c r="AY65" i="5"/>
  <c r="AO65" i="5"/>
  <c r="AG65" i="5"/>
  <c r="S65" i="5"/>
  <c r="BJ65" i="5" s="1"/>
  <c r="K65" i="5"/>
  <c r="BB65" i="5" s="1"/>
  <c r="DH64" i="5"/>
  <c r="DG64" i="5"/>
  <c r="DF64" i="5"/>
  <c r="DD64" i="5"/>
  <c r="DC64" i="5"/>
  <c r="DB64" i="5"/>
  <c r="CZ64" i="5"/>
  <c r="CY64" i="5"/>
  <c r="CX64" i="5"/>
  <c r="CW64" i="5"/>
  <c r="CV64" i="5"/>
  <c r="CU64" i="5"/>
  <c r="CT64" i="5"/>
  <c r="CS64" i="5"/>
  <c r="CR64" i="5"/>
  <c r="CQ64" i="5"/>
  <c r="CP64" i="5"/>
  <c r="CF64" i="5"/>
  <c r="BQ64" i="5"/>
  <c r="BP64" i="5"/>
  <c r="BO64" i="5"/>
  <c r="BM64" i="5"/>
  <c r="BL64" i="5"/>
  <c r="BK64" i="5"/>
  <c r="BI64" i="5"/>
  <c r="BH64" i="5"/>
  <c r="BG64" i="5"/>
  <c r="BF64" i="5"/>
  <c r="BE64" i="5"/>
  <c r="BD64" i="5"/>
  <c r="BC64" i="5"/>
  <c r="BB64" i="5"/>
  <c r="BA64" i="5"/>
  <c r="AZ64" i="5"/>
  <c r="AY64" i="5"/>
  <c r="AO64" i="5"/>
  <c r="BJ64" i="5" s="1"/>
  <c r="G64" i="5"/>
  <c r="DG63" i="5"/>
  <c r="DF63" i="5"/>
  <c r="DD63" i="5"/>
  <c r="DC63" i="5"/>
  <c r="DB63" i="5"/>
  <c r="DA63" i="5"/>
  <c r="CZ63" i="5"/>
  <c r="CY63" i="5"/>
  <c r="CX63" i="5"/>
  <c r="CW63" i="5"/>
  <c r="CV63" i="5"/>
  <c r="CU63" i="5"/>
  <c r="CT63" i="5"/>
  <c r="CS63" i="5"/>
  <c r="CR63" i="5"/>
  <c r="CQ63" i="5"/>
  <c r="CP63" i="5"/>
  <c r="CM63" i="5"/>
  <c r="DH63" i="5" s="1"/>
  <c r="BP63" i="5"/>
  <c r="BM63" i="5"/>
  <c r="BL63" i="5"/>
  <c r="BK63" i="5"/>
  <c r="BJ63" i="5"/>
  <c r="BI63" i="5"/>
  <c r="BH63" i="5"/>
  <c r="BG63" i="5"/>
  <c r="BF63" i="5"/>
  <c r="BE63" i="5"/>
  <c r="BD63" i="5"/>
  <c r="BC63" i="5"/>
  <c r="BB63" i="5"/>
  <c r="BA63" i="5"/>
  <c r="AZ63" i="5"/>
  <c r="AY63" i="5"/>
  <c r="AV63" i="5"/>
  <c r="AB63" i="5" s="1"/>
  <c r="G63" i="5"/>
  <c r="DG62" i="5"/>
  <c r="DG93" i="5" s="1"/>
  <c r="DF62" i="5"/>
  <c r="DD62" i="5"/>
  <c r="DC62" i="5"/>
  <c r="DB62" i="5"/>
  <c r="DA62" i="5"/>
  <c r="CZ62" i="5"/>
  <c r="CY62" i="5"/>
  <c r="CX62" i="5"/>
  <c r="CW62" i="5"/>
  <c r="CV62" i="5"/>
  <c r="CU62" i="5"/>
  <c r="CT62" i="5"/>
  <c r="CS62" i="5"/>
  <c r="CR62" i="5"/>
  <c r="CQ62" i="5"/>
  <c r="CP62" i="5"/>
  <c r="CM62" i="5"/>
  <c r="BS62" i="5" s="1"/>
  <c r="BP62" i="5"/>
  <c r="BM62" i="5"/>
  <c r="BL62" i="5"/>
  <c r="BK62" i="5"/>
  <c r="BJ62" i="5"/>
  <c r="BI62" i="5"/>
  <c r="BH62" i="5"/>
  <c r="BG62" i="5"/>
  <c r="BF62" i="5"/>
  <c r="BE62" i="5"/>
  <c r="BD62" i="5"/>
  <c r="BC62" i="5"/>
  <c r="BB62" i="5"/>
  <c r="BA62" i="5"/>
  <c r="AZ62" i="5"/>
  <c r="AY62" i="5"/>
  <c r="AV62" i="5"/>
  <c r="AB62" i="5" s="1"/>
  <c r="Z62" i="5"/>
  <c r="DG61" i="5"/>
  <c r="DF61" i="5"/>
  <c r="DD61" i="5"/>
  <c r="DC61" i="5"/>
  <c r="DB61" i="5"/>
  <c r="DA61" i="5"/>
  <c r="CZ61" i="5"/>
  <c r="CY61" i="5"/>
  <c r="CX61" i="5"/>
  <c r="CW61" i="5"/>
  <c r="CV61" i="5"/>
  <c r="CU61" i="5"/>
  <c r="CS61" i="5"/>
  <c r="CR61" i="5"/>
  <c r="CQ61" i="5"/>
  <c r="CP61" i="5"/>
  <c r="CM61" i="5"/>
  <c r="BY61" i="5"/>
  <c r="BY142" i="5" s="1"/>
  <c r="BP61" i="5"/>
  <c r="BM61" i="5"/>
  <c r="BL61" i="5"/>
  <c r="BK61" i="5"/>
  <c r="BJ61" i="5"/>
  <c r="BI61" i="5"/>
  <c r="BH61" i="5"/>
  <c r="BG61" i="5"/>
  <c r="BF61" i="5"/>
  <c r="BE61" i="5"/>
  <c r="BD61" i="5"/>
  <c r="BB61" i="5"/>
  <c r="BA61" i="5"/>
  <c r="AZ61" i="5"/>
  <c r="AY61" i="5"/>
  <c r="AV61" i="5"/>
  <c r="AH61" i="5"/>
  <c r="Z61" i="5"/>
  <c r="L61" i="5"/>
  <c r="L142" i="5" s="1"/>
  <c r="CK60" i="5"/>
  <c r="CI60" i="5"/>
  <c r="CG60" i="5"/>
  <c r="CD60" i="5"/>
  <c r="CC60" i="5"/>
  <c r="CB60" i="5"/>
  <c r="CA60" i="5"/>
  <c r="BZ60" i="5"/>
  <c r="BX60" i="5"/>
  <c r="BW60" i="5"/>
  <c r="BU60" i="5"/>
  <c r="BT60" i="5"/>
  <c r="AT60" i="5"/>
  <c r="AR60" i="5"/>
  <c r="AP60" i="5"/>
  <c r="AM60" i="5"/>
  <c r="AL60" i="5"/>
  <c r="AK60" i="5"/>
  <c r="AJ60" i="5"/>
  <c r="AI60" i="5"/>
  <c r="AG60" i="5"/>
  <c r="AF60" i="5"/>
  <c r="AD60" i="5"/>
  <c r="X60" i="5"/>
  <c r="V60" i="5"/>
  <c r="T60" i="5"/>
  <c r="S60" i="5"/>
  <c r="Q60" i="5"/>
  <c r="P60" i="5"/>
  <c r="O60" i="5"/>
  <c r="N60" i="5"/>
  <c r="M60" i="5"/>
  <c r="K60" i="5"/>
  <c r="J60" i="5"/>
  <c r="H60" i="5"/>
  <c r="DG59" i="5"/>
  <c r="DF59" i="5"/>
  <c r="DD59" i="5"/>
  <c r="DC59" i="5"/>
  <c r="DB59" i="5"/>
  <c r="DA59" i="5"/>
  <c r="CZ59" i="5"/>
  <c r="CY59" i="5"/>
  <c r="CX59" i="5"/>
  <c r="CW59" i="5"/>
  <c r="CV59" i="5"/>
  <c r="CU59" i="5"/>
  <c r="CT59" i="5"/>
  <c r="CS59" i="5"/>
  <c r="CR59" i="5"/>
  <c r="CQ59" i="5"/>
  <c r="CP59" i="5"/>
  <c r="CM59" i="5"/>
  <c r="BP59" i="5"/>
  <c r="BM59" i="5"/>
  <c r="BL59" i="5"/>
  <c r="BK59" i="5"/>
  <c r="BJ59" i="5"/>
  <c r="BI59" i="5"/>
  <c r="BH59" i="5"/>
  <c r="BG59" i="5"/>
  <c r="BF59" i="5"/>
  <c r="BE59" i="5"/>
  <c r="BD59" i="5"/>
  <c r="BC59" i="5"/>
  <c r="BB59" i="5"/>
  <c r="BA59" i="5"/>
  <c r="AZ59" i="5"/>
  <c r="AY59" i="5"/>
  <c r="AV59" i="5"/>
  <c r="AB59" i="5" s="1"/>
  <c r="Z59" i="5"/>
  <c r="G59" i="5" s="1"/>
  <c r="DH58" i="5"/>
  <c r="DG58" i="5"/>
  <c r="DF58" i="5"/>
  <c r="DD58" i="5"/>
  <c r="DB58" i="5"/>
  <c r="DA58" i="5"/>
  <c r="CZ58" i="5"/>
  <c r="CY58" i="5"/>
  <c r="CX58" i="5"/>
  <c r="CW58" i="5"/>
  <c r="CV58" i="5"/>
  <c r="CU58" i="5"/>
  <c r="CS58" i="5"/>
  <c r="CR58" i="5"/>
  <c r="CQ58" i="5"/>
  <c r="CP58" i="5"/>
  <c r="BY58" i="5"/>
  <c r="BY140" i="5" s="1"/>
  <c r="BV58" i="5"/>
  <c r="BQ58" i="5"/>
  <c r="BP58" i="5"/>
  <c r="BM58" i="5"/>
  <c r="BK58" i="5"/>
  <c r="BJ58" i="5"/>
  <c r="BI58" i="5"/>
  <c r="BH58" i="5"/>
  <c r="BG58" i="5"/>
  <c r="BF58" i="5"/>
  <c r="BE58" i="5"/>
  <c r="BD58" i="5"/>
  <c r="BB58" i="5"/>
  <c r="BA58" i="5"/>
  <c r="AY58" i="5"/>
  <c r="AQ58" i="5"/>
  <c r="BL58" i="5" s="1"/>
  <c r="AH58" i="5"/>
  <c r="AE58" i="5"/>
  <c r="AZ58" i="5" s="1"/>
  <c r="L58" i="5"/>
  <c r="DH57" i="5"/>
  <c r="DG57" i="5"/>
  <c r="DF57" i="5"/>
  <c r="DD57" i="5"/>
  <c r="DC57" i="5"/>
  <c r="DB57" i="5"/>
  <c r="DA57" i="5"/>
  <c r="CZ57" i="5"/>
  <c r="CY57" i="5"/>
  <c r="CX57" i="5"/>
  <c r="CW57" i="5"/>
  <c r="CV57" i="5"/>
  <c r="CU57" i="5"/>
  <c r="CT57" i="5"/>
  <c r="CS57" i="5"/>
  <c r="CR57" i="5"/>
  <c r="CQ57" i="5"/>
  <c r="CP57" i="5"/>
  <c r="BS57" i="5"/>
  <c r="BQ57" i="5"/>
  <c r="BP57" i="5"/>
  <c r="BM57" i="5"/>
  <c r="BL57" i="5"/>
  <c r="BK57" i="5"/>
  <c r="BJ57" i="5"/>
  <c r="BI57" i="5"/>
  <c r="BH57" i="5"/>
  <c r="BG57" i="5"/>
  <c r="BF57" i="5"/>
  <c r="BE57" i="5"/>
  <c r="BD57" i="5"/>
  <c r="BC57" i="5"/>
  <c r="BB57" i="5"/>
  <c r="BA57" i="5"/>
  <c r="AZ57" i="5"/>
  <c r="AY57" i="5"/>
  <c r="AQ57" i="5"/>
  <c r="AB57" i="5"/>
  <c r="G57" i="5"/>
  <c r="DH56" i="5"/>
  <c r="DG56" i="5"/>
  <c r="DF56" i="5"/>
  <c r="DD56" i="5"/>
  <c r="DB56" i="5"/>
  <c r="DA56" i="5"/>
  <c r="CZ56" i="5"/>
  <c r="CY56" i="5"/>
  <c r="CX56" i="5"/>
  <c r="CW56" i="5"/>
  <c r="CV56" i="5"/>
  <c r="CU56" i="5"/>
  <c r="CT56" i="5"/>
  <c r="CS56" i="5"/>
  <c r="CR56" i="5"/>
  <c r="CQ56" i="5"/>
  <c r="CP56" i="5"/>
  <c r="CH56" i="5"/>
  <c r="BV56" i="5"/>
  <c r="BQ56" i="5"/>
  <c r="BP56" i="5"/>
  <c r="BM56" i="5"/>
  <c r="BL56" i="5"/>
  <c r="BK56" i="5"/>
  <c r="BJ56" i="5"/>
  <c r="BI56" i="5"/>
  <c r="BH56" i="5"/>
  <c r="BG56" i="5"/>
  <c r="BF56" i="5"/>
  <c r="BE56" i="5"/>
  <c r="BD56" i="5"/>
  <c r="BC56" i="5"/>
  <c r="BB56" i="5"/>
  <c r="BA56" i="5"/>
  <c r="AY56" i="5"/>
  <c r="AE56" i="5"/>
  <c r="AB56" i="5" s="1"/>
  <c r="I56" i="5"/>
  <c r="G56" i="5"/>
  <c r="DH55" i="5"/>
  <c r="DG55" i="5"/>
  <c r="DF55" i="5"/>
  <c r="DD55" i="5"/>
  <c r="DB55" i="5"/>
  <c r="DA55" i="5"/>
  <c r="CZ55" i="5"/>
  <c r="CY55" i="5"/>
  <c r="CX55" i="5"/>
  <c r="CW55" i="5"/>
  <c r="CV55" i="5"/>
  <c r="CU55" i="5"/>
  <c r="CT55" i="5"/>
  <c r="CS55" i="5"/>
  <c r="CR55" i="5"/>
  <c r="CQ55" i="5"/>
  <c r="CP55" i="5"/>
  <c r="CH55" i="5"/>
  <c r="BS55" i="5" s="1"/>
  <c r="BQ55" i="5"/>
  <c r="BP55" i="5"/>
  <c r="BM55" i="5"/>
  <c r="BL55" i="5"/>
  <c r="BK55" i="5"/>
  <c r="BJ55" i="5"/>
  <c r="BI55" i="5"/>
  <c r="BH55" i="5"/>
  <c r="BG55" i="5"/>
  <c r="BF55" i="5"/>
  <c r="BE55" i="5"/>
  <c r="BD55" i="5"/>
  <c r="BC55" i="5"/>
  <c r="BB55" i="5"/>
  <c r="BA55" i="5"/>
  <c r="AZ55" i="5"/>
  <c r="AY55" i="5"/>
  <c r="AB55" i="5"/>
  <c r="G55" i="5"/>
  <c r="DH54" i="5"/>
  <c r="DG54" i="5"/>
  <c r="DF54" i="5"/>
  <c r="DD54" i="5"/>
  <c r="DC54" i="5"/>
  <c r="DB54" i="5"/>
  <c r="DA54" i="5"/>
  <c r="CZ54" i="5"/>
  <c r="CY54" i="5"/>
  <c r="CX54" i="5"/>
  <c r="CW54" i="5"/>
  <c r="CV54" i="5"/>
  <c r="CU54" i="5"/>
  <c r="CT54" i="5"/>
  <c r="CS54" i="5"/>
  <c r="CR54" i="5"/>
  <c r="CQ54" i="5"/>
  <c r="CP54" i="5"/>
  <c r="CM54" i="5"/>
  <c r="BV54" i="5"/>
  <c r="BS54" i="5" s="1"/>
  <c r="BR54" i="5" s="1"/>
  <c r="CN54" i="5" s="1"/>
  <c r="BP54" i="5"/>
  <c r="BM54" i="5"/>
  <c r="BL54" i="5"/>
  <c r="BK54" i="5"/>
  <c r="BJ54" i="5"/>
  <c r="BI54" i="5"/>
  <c r="BH54" i="5"/>
  <c r="BG54" i="5"/>
  <c r="BF54" i="5"/>
  <c r="BE54" i="5"/>
  <c r="BD54" i="5"/>
  <c r="BC54" i="5"/>
  <c r="BB54" i="5"/>
  <c r="BA54" i="5"/>
  <c r="AZ54" i="5"/>
  <c r="AY54" i="5"/>
  <c r="AV54" i="5"/>
  <c r="AB54" i="5"/>
  <c r="Z54" i="5"/>
  <c r="G54" i="5"/>
  <c r="DG53" i="5"/>
  <c r="DF53" i="5"/>
  <c r="DD53" i="5"/>
  <c r="DC53" i="5"/>
  <c r="DB53" i="5"/>
  <c r="DA53" i="5"/>
  <c r="CZ53" i="5"/>
  <c r="CY53" i="5"/>
  <c r="CX53" i="5"/>
  <c r="CW53" i="5"/>
  <c r="CV53" i="5"/>
  <c r="CU53" i="5"/>
  <c r="CT53" i="5"/>
  <c r="CS53" i="5"/>
  <c r="CR53" i="5"/>
  <c r="CQ53" i="5"/>
  <c r="CP53" i="5"/>
  <c r="CM53" i="5"/>
  <c r="BS53" i="5" s="1"/>
  <c r="BP53" i="5"/>
  <c r="BM53" i="5"/>
  <c r="BL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V53" i="5"/>
  <c r="AB53" i="5" s="1"/>
  <c r="Z53" i="5"/>
  <c r="G53" i="5" s="1"/>
  <c r="DH52" i="5"/>
  <c r="DG52" i="5"/>
  <c r="DF52" i="5"/>
  <c r="DD52" i="5"/>
  <c r="DB52" i="5"/>
  <c r="DA52" i="5"/>
  <c r="CZ52" i="5"/>
  <c r="CY52" i="5"/>
  <c r="CX52" i="5"/>
  <c r="CW52" i="5"/>
  <c r="CV52" i="5"/>
  <c r="CU52" i="5"/>
  <c r="CT52" i="5"/>
  <c r="CS52" i="5"/>
  <c r="CR52" i="5"/>
  <c r="CP52" i="5"/>
  <c r="BV52" i="5"/>
  <c r="BQ52" i="5"/>
  <c r="BP52" i="5"/>
  <c r="BM52" i="5"/>
  <c r="BK52" i="5"/>
  <c r="BJ52" i="5"/>
  <c r="BI52" i="5"/>
  <c r="BH52" i="5"/>
  <c r="BG52" i="5"/>
  <c r="BF52" i="5"/>
  <c r="BE52" i="5"/>
  <c r="BD52" i="5"/>
  <c r="BC52" i="5"/>
  <c r="BB52" i="5"/>
  <c r="BA52" i="5"/>
  <c r="AY52" i="5"/>
  <c r="AQ52" i="5"/>
  <c r="AE52" i="5"/>
  <c r="U52" i="5"/>
  <c r="I52" i="5"/>
  <c r="DH51" i="5"/>
  <c r="DG51" i="5"/>
  <c r="DF51" i="5"/>
  <c r="DD51" i="5"/>
  <c r="DC51" i="5"/>
  <c r="DB51" i="5"/>
  <c r="DA51" i="5"/>
  <c r="CZ51" i="5"/>
  <c r="CY51" i="5"/>
  <c r="CX51" i="5"/>
  <c r="CW51" i="5"/>
  <c r="CV51" i="5"/>
  <c r="CU51" i="5"/>
  <c r="CT51" i="5"/>
  <c r="CS51" i="5"/>
  <c r="CR51" i="5"/>
  <c r="CP51" i="5"/>
  <c r="BV51" i="5"/>
  <c r="CQ51" i="5" s="1"/>
  <c r="BS51" i="5"/>
  <c r="BR51" i="5" s="1"/>
  <c r="CN51" i="5" s="1"/>
  <c r="BQ51" i="5"/>
  <c r="BP51" i="5"/>
  <c r="BM51" i="5"/>
  <c r="BL51" i="5"/>
  <c r="BJ51" i="5"/>
  <c r="BI51" i="5"/>
  <c r="BH51" i="5"/>
  <c r="BG51" i="5"/>
  <c r="BF51" i="5"/>
  <c r="BE51" i="5"/>
  <c r="BD51" i="5"/>
  <c r="BC51" i="5"/>
  <c r="BB51" i="5"/>
  <c r="BA51" i="5"/>
  <c r="AY51" i="5"/>
  <c r="AE51" i="5"/>
  <c r="G51" i="5"/>
  <c r="DH50" i="5"/>
  <c r="DF50" i="5"/>
  <c r="DD50" i="5"/>
  <c r="DC50" i="5"/>
  <c r="DB50" i="5"/>
  <c r="DA50" i="5"/>
  <c r="CZ50" i="5"/>
  <c r="CY50" i="5"/>
  <c r="CX50" i="5"/>
  <c r="CW50" i="5"/>
  <c r="CV50" i="5"/>
  <c r="CU50" i="5"/>
  <c r="CT50" i="5"/>
  <c r="CS50" i="5"/>
  <c r="CR50" i="5"/>
  <c r="CP50" i="5"/>
  <c r="CL50" i="5"/>
  <c r="DG50" i="5" s="1"/>
  <c r="BV50" i="5"/>
  <c r="CQ50" i="5" s="1"/>
  <c r="BQ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Y50" i="5"/>
  <c r="AU50" i="5"/>
  <c r="AE50" i="5"/>
  <c r="AZ50" i="5" s="1"/>
  <c r="G50" i="5"/>
  <c r="DG49" i="5"/>
  <c r="DF49" i="5"/>
  <c r="DD49" i="5"/>
  <c r="DB49" i="5"/>
  <c r="DA49" i="5"/>
  <c r="CZ49" i="5"/>
  <c r="CY49" i="5"/>
  <c r="CX49" i="5"/>
  <c r="CW49" i="5"/>
  <c r="CV49" i="5"/>
  <c r="CU49" i="5"/>
  <c r="CT49" i="5"/>
  <c r="CS49" i="5"/>
  <c r="CR49" i="5"/>
  <c r="CQ49" i="5"/>
  <c r="CP49" i="5"/>
  <c r="CH49" i="5"/>
  <c r="DC49" i="5" s="1"/>
  <c r="BP49" i="5"/>
  <c r="BM49" i="5"/>
  <c r="BJ49" i="5"/>
  <c r="BI49" i="5"/>
  <c r="BH49" i="5"/>
  <c r="BG49" i="5"/>
  <c r="BF49" i="5"/>
  <c r="BE49" i="5"/>
  <c r="BD49" i="5"/>
  <c r="BC49" i="5"/>
  <c r="BB49" i="5"/>
  <c r="BA49" i="5"/>
  <c r="AZ49" i="5"/>
  <c r="AY49" i="5"/>
  <c r="AQ49" i="5"/>
  <c r="Z49" i="5"/>
  <c r="BQ49" i="5" s="1"/>
  <c r="DH48" i="5"/>
  <c r="DG48" i="5"/>
  <c r="DF48" i="5"/>
  <c r="DD48" i="5"/>
  <c r="DB48" i="5"/>
  <c r="DA48" i="5"/>
  <c r="CZ48" i="5"/>
  <c r="CY48" i="5"/>
  <c r="CX48" i="5"/>
  <c r="CW48" i="5"/>
  <c r="CV48" i="5"/>
  <c r="CU48" i="5"/>
  <c r="CT48" i="5"/>
  <c r="CS48" i="5"/>
  <c r="CR48" i="5"/>
  <c r="CQ48" i="5"/>
  <c r="CP48" i="5"/>
  <c r="CH48" i="5"/>
  <c r="BS48" i="5" s="1"/>
  <c r="BQ48" i="5"/>
  <c r="BP48" i="5"/>
  <c r="BM48" i="5"/>
  <c r="BJ48" i="5"/>
  <c r="BI48" i="5"/>
  <c r="BH48" i="5"/>
  <c r="BG48" i="5"/>
  <c r="BF48" i="5"/>
  <c r="BE48" i="5"/>
  <c r="BD48" i="5"/>
  <c r="BC48" i="5"/>
  <c r="BB48" i="5"/>
  <c r="BA48" i="5"/>
  <c r="AZ48" i="5"/>
  <c r="AY48" i="5"/>
  <c r="AQ48" i="5"/>
  <c r="BL48" i="5" s="1"/>
  <c r="G48" i="5"/>
  <c r="DH47" i="5"/>
  <c r="DG47" i="5"/>
  <c r="DF47" i="5"/>
  <c r="DD47" i="5"/>
  <c r="DB47" i="5"/>
  <c r="DA47" i="5"/>
  <c r="CZ47" i="5"/>
  <c r="CY47" i="5"/>
  <c r="CX47" i="5"/>
  <c r="CW47" i="5"/>
  <c r="CV47" i="5"/>
  <c r="CU47" i="5"/>
  <c r="CT47" i="5"/>
  <c r="CS47" i="5"/>
  <c r="CR47" i="5"/>
  <c r="CQ47" i="5"/>
  <c r="CP47" i="5"/>
  <c r="CH47" i="5"/>
  <c r="BS47" i="5" s="1"/>
  <c r="BQ47" i="5"/>
  <c r="BP47" i="5"/>
  <c r="BM47" i="5"/>
  <c r="BL47" i="5"/>
  <c r="BK47" i="5"/>
  <c r="BJ47" i="5"/>
  <c r="BI47" i="5"/>
  <c r="BH47" i="5"/>
  <c r="BG47" i="5"/>
  <c r="BF47" i="5"/>
  <c r="BE47" i="5"/>
  <c r="BD47" i="5"/>
  <c r="BC47" i="5"/>
  <c r="BB47" i="5"/>
  <c r="BA47" i="5"/>
  <c r="AZ47" i="5"/>
  <c r="AY47" i="5"/>
  <c r="AQ47" i="5"/>
  <c r="AB47" i="5"/>
  <c r="G47" i="5"/>
  <c r="AA47" i="5" s="1"/>
  <c r="AW47" i="5" s="1"/>
  <c r="DH46" i="5"/>
  <c r="DG46" i="5"/>
  <c r="DF46" i="5"/>
  <c r="DD46" i="5"/>
  <c r="DB46" i="5"/>
  <c r="DA46" i="5"/>
  <c r="CZ46" i="5"/>
  <c r="CY46" i="5"/>
  <c r="CX46" i="5"/>
  <c r="CW46" i="5"/>
  <c r="CV46" i="5"/>
  <c r="CU46" i="5"/>
  <c r="CT46" i="5"/>
  <c r="CS46" i="5"/>
  <c r="CR46" i="5"/>
  <c r="CQ46" i="5"/>
  <c r="CP46" i="5"/>
  <c r="CH46" i="5"/>
  <c r="DC46" i="5" s="1"/>
  <c r="BQ46" i="5"/>
  <c r="BP46" i="5"/>
  <c r="BO46" i="5"/>
  <c r="BO60" i="5" s="1"/>
  <c r="BM46" i="5"/>
  <c r="BK46" i="5"/>
  <c r="BJ46" i="5"/>
  <c r="BI46" i="5"/>
  <c r="BH46" i="5"/>
  <c r="BG46" i="5"/>
  <c r="BF46" i="5"/>
  <c r="BE46" i="5"/>
  <c r="BD46" i="5"/>
  <c r="BC46" i="5"/>
  <c r="BB46" i="5"/>
  <c r="BA46" i="5"/>
  <c r="AZ46" i="5"/>
  <c r="AY46" i="5"/>
  <c r="AQ46" i="5"/>
  <c r="AB46" i="5" s="1"/>
  <c r="G46" i="5"/>
  <c r="DH45" i="5"/>
  <c r="DG45" i="5"/>
  <c r="DF45" i="5"/>
  <c r="DD45" i="5"/>
  <c r="DB45" i="5"/>
  <c r="DA45" i="5"/>
  <c r="CZ45" i="5"/>
  <c r="CY45" i="5"/>
  <c r="CX45" i="5"/>
  <c r="CW45" i="5"/>
  <c r="CV45" i="5"/>
  <c r="CU45" i="5"/>
  <c r="CT45" i="5"/>
  <c r="CS45" i="5"/>
  <c r="CR45" i="5"/>
  <c r="CQ45" i="5"/>
  <c r="CP45" i="5"/>
  <c r="CH45" i="5"/>
  <c r="BS45" i="5" s="1"/>
  <c r="BQ45" i="5"/>
  <c r="BP45" i="5"/>
  <c r="BM45" i="5"/>
  <c r="BJ45" i="5"/>
  <c r="BI45" i="5"/>
  <c r="BH45" i="5"/>
  <c r="BG45" i="5"/>
  <c r="BF45" i="5"/>
  <c r="BE45" i="5"/>
  <c r="BD45" i="5"/>
  <c r="BC45" i="5"/>
  <c r="BB45" i="5"/>
  <c r="BA45" i="5"/>
  <c r="AZ45" i="5"/>
  <c r="AY45" i="5"/>
  <c r="AQ45" i="5"/>
  <c r="AB45" i="5" s="1"/>
  <c r="U45" i="5"/>
  <c r="DH44" i="5"/>
  <c r="DG44" i="5"/>
  <c r="DF44" i="5"/>
  <c r="DD44" i="5"/>
  <c r="DB44" i="5"/>
  <c r="DA44" i="5"/>
  <c r="CZ44" i="5"/>
  <c r="CY44" i="5"/>
  <c r="CX44" i="5"/>
  <c r="CW44" i="5"/>
  <c r="CV44" i="5"/>
  <c r="CU44" i="5"/>
  <c r="CT44" i="5"/>
  <c r="CS44" i="5"/>
  <c r="CR44" i="5"/>
  <c r="CQ44" i="5"/>
  <c r="CP44" i="5"/>
  <c r="CH44" i="5"/>
  <c r="BS44" i="5"/>
  <c r="BQ44" i="5"/>
  <c r="BP44" i="5"/>
  <c r="BO44" i="5"/>
  <c r="BM44" i="5"/>
  <c r="BK44" i="5"/>
  <c r="BJ44" i="5"/>
  <c r="BI44" i="5"/>
  <c r="BH44" i="5"/>
  <c r="BG44" i="5"/>
  <c r="BF44" i="5"/>
  <c r="BE44" i="5"/>
  <c r="BD44" i="5"/>
  <c r="BC44" i="5"/>
  <c r="BB44" i="5"/>
  <c r="BA44" i="5"/>
  <c r="AZ44" i="5"/>
  <c r="AY44" i="5"/>
  <c r="AQ44" i="5"/>
  <c r="AB44" i="5" s="1"/>
  <c r="U44" i="5"/>
  <c r="DC44" i="5" s="1"/>
  <c r="DH43" i="5"/>
  <c r="DG43" i="5"/>
  <c r="DF43" i="5"/>
  <c r="DD43" i="5"/>
  <c r="DC43" i="5"/>
  <c r="DB43" i="5"/>
  <c r="DA43" i="5"/>
  <c r="CY43" i="5"/>
  <c r="CX43" i="5"/>
  <c r="CW43" i="5"/>
  <c r="CV43" i="5"/>
  <c r="CU43" i="5"/>
  <c r="CT43" i="5"/>
  <c r="CS43" i="5"/>
  <c r="CR43" i="5"/>
  <c r="CQ43" i="5"/>
  <c r="CP43" i="5"/>
  <c r="CE43" i="5"/>
  <c r="BS43" i="5"/>
  <c r="BQ43" i="5"/>
  <c r="BP43" i="5"/>
  <c r="BO43" i="5"/>
  <c r="BM43" i="5"/>
  <c r="BL43" i="5"/>
  <c r="BK43" i="5"/>
  <c r="BJ43" i="5"/>
  <c r="BH43" i="5"/>
  <c r="BG43" i="5"/>
  <c r="BF43" i="5"/>
  <c r="BE43" i="5"/>
  <c r="BD43" i="5"/>
  <c r="BC43" i="5"/>
  <c r="BB43" i="5"/>
  <c r="BA43" i="5"/>
  <c r="AZ43" i="5"/>
  <c r="AY43" i="5"/>
  <c r="AN43" i="5"/>
  <c r="AB43" i="5"/>
  <c r="R43" i="5"/>
  <c r="R140" i="5" s="1"/>
  <c r="DH42" i="5"/>
  <c r="DG42" i="5"/>
  <c r="DF42" i="5"/>
  <c r="DD42" i="5"/>
  <c r="DC42" i="5"/>
  <c r="DB42" i="5"/>
  <c r="DA42" i="5"/>
  <c r="CZ42" i="5"/>
  <c r="CY42" i="5"/>
  <c r="CX42" i="5"/>
  <c r="CW42" i="5"/>
  <c r="CV42" i="5"/>
  <c r="CU42" i="5"/>
  <c r="CT42" i="5"/>
  <c r="CS42" i="5"/>
  <c r="CR42" i="5"/>
  <c r="CQ42" i="5"/>
  <c r="CP42" i="5"/>
  <c r="BS42" i="5"/>
  <c r="BR42" i="5" s="1"/>
  <c r="CN42" i="5" s="1"/>
  <c r="BQ42" i="5"/>
  <c r="BP42" i="5"/>
  <c r="BM42" i="5"/>
  <c r="BL42" i="5"/>
  <c r="BK42" i="5"/>
  <c r="BJ42" i="5"/>
  <c r="BI42" i="5"/>
  <c r="BH42" i="5"/>
  <c r="BG42" i="5"/>
  <c r="BF42" i="5"/>
  <c r="BE42" i="5"/>
  <c r="BD42" i="5"/>
  <c r="BC42" i="5"/>
  <c r="BB42" i="5"/>
  <c r="BA42" i="5"/>
  <c r="AZ42" i="5"/>
  <c r="AY42" i="5"/>
  <c r="AX42" i="5" s="1"/>
  <c r="AB42" i="5"/>
  <c r="Z42" i="5"/>
  <c r="G42" i="5"/>
  <c r="DH41" i="5"/>
  <c r="DF41" i="5"/>
  <c r="DD41" i="5"/>
  <c r="DC41" i="5"/>
  <c r="DB41" i="5"/>
  <c r="CZ41" i="5"/>
  <c r="CY41" i="5"/>
  <c r="CX41" i="5"/>
  <c r="CW41" i="5"/>
  <c r="CV41" i="5"/>
  <c r="CU41" i="5"/>
  <c r="CT41" i="5"/>
  <c r="CS41" i="5"/>
  <c r="CR41" i="5"/>
  <c r="CQ41" i="5"/>
  <c r="CP41" i="5"/>
  <c r="CL41" i="5"/>
  <c r="CF41" i="5"/>
  <c r="BQ41" i="5"/>
  <c r="BM41" i="5"/>
  <c r="BL41" i="5"/>
  <c r="BK41" i="5"/>
  <c r="BI41" i="5"/>
  <c r="BH41" i="5"/>
  <c r="BG41" i="5"/>
  <c r="BF41" i="5"/>
  <c r="BE41" i="5"/>
  <c r="BD41" i="5"/>
  <c r="BC41" i="5"/>
  <c r="BB41" i="5"/>
  <c r="BA41" i="5"/>
  <c r="AZ41" i="5"/>
  <c r="AY41" i="5"/>
  <c r="AU41" i="5"/>
  <c r="AO41" i="5"/>
  <c r="BJ41" i="5" s="1"/>
  <c r="AB41" i="5"/>
  <c r="Y41" i="5"/>
  <c r="G41" i="5"/>
  <c r="DG40" i="5"/>
  <c r="DF40" i="5"/>
  <c r="DD40" i="5"/>
  <c r="DB40" i="5"/>
  <c r="CZ40" i="5"/>
  <c r="CY40" i="5"/>
  <c r="CX40" i="5"/>
  <c r="CW40" i="5"/>
  <c r="CV40" i="5"/>
  <c r="CU40" i="5"/>
  <c r="CT40" i="5"/>
  <c r="CS40" i="5"/>
  <c r="CR40" i="5"/>
  <c r="CQ40" i="5"/>
  <c r="CP40" i="5"/>
  <c r="CM40" i="5"/>
  <c r="CF40" i="5"/>
  <c r="BP40" i="5"/>
  <c r="BM40" i="5"/>
  <c r="BK40" i="5"/>
  <c r="BI40" i="5"/>
  <c r="BH40" i="5"/>
  <c r="BG40" i="5"/>
  <c r="BF40" i="5"/>
  <c r="BE40" i="5"/>
  <c r="BD40" i="5"/>
  <c r="BC40" i="5"/>
  <c r="BB40" i="5"/>
  <c r="BA40" i="5"/>
  <c r="AZ40" i="5"/>
  <c r="AY40" i="5"/>
  <c r="AV40" i="5"/>
  <c r="AQ40" i="5"/>
  <c r="BL40" i="5" s="1"/>
  <c r="AO40" i="5"/>
  <c r="BJ40" i="5" s="1"/>
  <c r="Z40" i="5"/>
  <c r="DH39" i="5"/>
  <c r="DG39" i="5"/>
  <c r="DF39" i="5"/>
  <c r="DD39" i="5"/>
  <c r="DC39" i="5"/>
  <c r="DB39" i="5"/>
  <c r="CZ39" i="5"/>
  <c r="CY39" i="5"/>
  <c r="CX39" i="5"/>
  <c r="CW39" i="5"/>
  <c r="CV39" i="5"/>
  <c r="CU39" i="5"/>
  <c r="CT39" i="5"/>
  <c r="CS39" i="5"/>
  <c r="CR39" i="5"/>
  <c r="CQ39" i="5"/>
  <c r="CP39" i="5"/>
  <c r="CF39" i="5"/>
  <c r="DA39" i="5" s="1"/>
  <c r="BS39" i="5"/>
  <c r="BR39" i="5"/>
  <c r="CN39" i="5" s="1"/>
  <c r="BQ39" i="5"/>
  <c r="BP39" i="5"/>
  <c r="BM39" i="5"/>
  <c r="BL39" i="5"/>
  <c r="BK39" i="5"/>
  <c r="BJ39" i="5"/>
  <c r="BI39" i="5"/>
  <c r="BH39" i="5"/>
  <c r="BG39" i="5"/>
  <c r="BF39" i="5"/>
  <c r="BE39" i="5"/>
  <c r="BD39" i="5"/>
  <c r="BC39" i="5"/>
  <c r="BB39" i="5"/>
  <c r="BA39" i="5"/>
  <c r="AZ39" i="5"/>
  <c r="AX39" i="5" s="1"/>
  <c r="AY39" i="5"/>
  <c r="AO39" i="5"/>
  <c r="AB39" i="5" s="1"/>
  <c r="G39" i="5"/>
  <c r="DH38" i="5"/>
  <c r="DG38" i="5"/>
  <c r="DF38" i="5"/>
  <c r="DD38" i="5"/>
  <c r="DB38" i="5"/>
  <c r="DA38" i="5"/>
  <c r="CZ38" i="5"/>
  <c r="CY38" i="5"/>
  <c r="CX38" i="5"/>
  <c r="CW38" i="5"/>
  <c r="CV38" i="5"/>
  <c r="CU38" i="5"/>
  <c r="CT38" i="5"/>
  <c r="CS38" i="5"/>
  <c r="CR38" i="5"/>
  <c r="CQ38" i="5"/>
  <c r="CP38" i="5"/>
  <c r="CH38" i="5"/>
  <c r="DC38" i="5" s="1"/>
  <c r="BQ38" i="5"/>
  <c r="BP38" i="5"/>
  <c r="BO38" i="5"/>
  <c r="BM38" i="5"/>
  <c r="BK38" i="5"/>
  <c r="BJ38" i="5"/>
  <c r="BI38" i="5"/>
  <c r="BH38" i="5"/>
  <c r="BG38" i="5"/>
  <c r="BF38" i="5"/>
  <c r="BE38" i="5"/>
  <c r="BD38" i="5"/>
  <c r="BC38" i="5"/>
  <c r="BB38" i="5"/>
  <c r="BA38" i="5"/>
  <c r="AZ38" i="5"/>
  <c r="AY38" i="5"/>
  <c r="AQ38" i="5"/>
  <c r="BL38" i="5" s="1"/>
  <c r="G38" i="5"/>
  <c r="DH37" i="5"/>
  <c r="DG37" i="5"/>
  <c r="DF37" i="5"/>
  <c r="DD37" i="5"/>
  <c r="DB37" i="5"/>
  <c r="DA37" i="5"/>
  <c r="CZ37" i="5"/>
  <c r="CY37" i="5"/>
  <c r="CX37" i="5"/>
  <c r="CW37" i="5"/>
  <c r="CV37" i="5"/>
  <c r="CU37" i="5"/>
  <c r="CT37" i="5"/>
  <c r="CS37" i="5"/>
  <c r="CR37" i="5"/>
  <c r="CQ37" i="5"/>
  <c r="CP37" i="5"/>
  <c r="CH37" i="5"/>
  <c r="BS37" i="5"/>
  <c r="BQ37" i="5"/>
  <c r="BM37" i="5"/>
  <c r="BK37" i="5"/>
  <c r="BJ37" i="5"/>
  <c r="BI37" i="5"/>
  <c r="BH37" i="5"/>
  <c r="BG37" i="5"/>
  <c r="BF37" i="5"/>
  <c r="BE37" i="5"/>
  <c r="BD37" i="5"/>
  <c r="BC37" i="5"/>
  <c r="BB37" i="5"/>
  <c r="BA37" i="5"/>
  <c r="AZ37" i="5"/>
  <c r="AY37" i="5"/>
  <c r="AQ37" i="5"/>
  <c r="AB37" i="5" s="1"/>
  <c r="AA37" i="5" s="1"/>
  <c r="AW37" i="5" s="1"/>
  <c r="U37" i="5"/>
  <c r="G37" i="5"/>
  <c r="DH36" i="5"/>
  <c r="DG36" i="5"/>
  <c r="DF36" i="5"/>
  <c r="DD36" i="5"/>
  <c r="DB36" i="5"/>
  <c r="DA36" i="5"/>
  <c r="CZ36" i="5"/>
  <c r="CY36" i="5"/>
  <c r="CX36" i="5"/>
  <c r="CW36" i="5"/>
  <c r="CV36" i="5"/>
  <c r="CU36" i="5"/>
  <c r="CT36" i="5"/>
  <c r="CS36" i="5"/>
  <c r="CR36" i="5"/>
  <c r="CQ36" i="5"/>
  <c r="CP36" i="5"/>
  <c r="CH36" i="5"/>
  <c r="BS36" i="5" s="1"/>
  <c r="BM36" i="5"/>
  <c r="BK36" i="5"/>
  <c r="BJ36" i="5"/>
  <c r="BI36" i="5"/>
  <c r="BH36" i="5"/>
  <c r="BG36" i="5"/>
  <c r="BF36" i="5"/>
  <c r="BE36" i="5"/>
  <c r="BD36" i="5"/>
  <c r="BC36" i="5"/>
  <c r="BB36" i="5"/>
  <c r="BA36" i="5"/>
  <c r="AZ36" i="5"/>
  <c r="AY36" i="5"/>
  <c r="AV36" i="5"/>
  <c r="AB36" i="5" s="1"/>
  <c r="AQ36" i="5"/>
  <c r="BL36" i="5" s="1"/>
  <c r="G36" i="5"/>
  <c r="DH35" i="5"/>
  <c r="DG35" i="5"/>
  <c r="DF35" i="5"/>
  <c r="DD35" i="5"/>
  <c r="DB35" i="5"/>
  <c r="DA35" i="5"/>
  <c r="CZ35" i="5"/>
  <c r="CY35" i="5"/>
  <c r="CX35" i="5"/>
  <c r="CW35" i="5"/>
  <c r="CV35" i="5"/>
  <c r="CU35" i="5"/>
  <c r="CT35" i="5"/>
  <c r="CS35" i="5"/>
  <c r="CR35" i="5"/>
  <c r="CQ35" i="5"/>
  <c r="CP35" i="5"/>
  <c r="CH35" i="5"/>
  <c r="DC35" i="5" s="1"/>
  <c r="BS35" i="5"/>
  <c r="BR35" i="5" s="1"/>
  <c r="CN35" i="5" s="1"/>
  <c r="BQ35" i="5"/>
  <c r="BM35" i="5"/>
  <c r="BK35" i="5"/>
  <c r="BJ35" i="5"/>
  <c r="BI35" i="5"/>
  <c r="BH35" i="5"/>
  <c r="BG35" i="5"/>
  <c r="BF35" i="5"/>
  <c r="BE35" i="5"/>
  <c r="BD35" i="5"/>
  <c r="BC35" i="5"/>
  <c r="BB35" i="5"/>
  <c r="BA35" i="5"/>
  <c r="AZ35" i="5"/>
  <c r="AY35" i="5"/>
  <c r="AQ35" i="5"/>
  <c r="G35" i="5"/>
  <c r="DH34" i="5"/>
  <c r="DG34" i="5"/>
  <c r="DF34" i="5"/>
  <c r="DD34" i="5"/>
  <c r="DB34" i="5"/>
  <c r="DA34" i="5"/>
  <c r="CZ34" i="5"/>
  <c r="CY34" i="5"/>
  <c r="CX34" i="5"/>
  <c r="CW34" i="5"/>
  <c r="CV34" i="5"/>
  <c r="CU34" i="5"/>
  <c r="CT34" i="5"/>
  <c r="CS34" i="5"/>
  <c r="CR34" i="5"/>
  <c r="CQ34" i="5"/>
  <c r="CP34" i="5"/>
  <c r="CJ34" i="5"/>
  <c r="CJ140" i="5" s="1"/>
  <c r="CH34" i="5"/>
  <c r="BQ34" i="5"/>
  <c r="BM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S34" i="5"/>
  <c r="AQ34" i="5"/>
  <c r="BL34" i="5" s="1"/>
  <c r="W34" i="5"/>
  <c r="W60" i="5" s="1"/>
  <c r="W135" i="5" s="1"/>
  <c r="DG33" i="5"/>
  <c r="DF33" i="5"/>
  <c r="DD33" i="5"/>
  <c r="DC33" i="5"/>
  <c r="DB33" i="5"/>
  <c r="DA33" i="5"/>
  <c r="CZ33" i="5"/>
  <c r="CY33" i="5"/>
  <c r="CX33" i="5"/>
  <c r="CW33" i="5"/>
  <c r="CV33" i="5"/>
  <c r="CU33" i="5"/>
  <c r="CT33" i="5"/>
  <c r="CS33" i="5"/>
  <c r="CR33" i="5"/>
  <c r="CQ33" i="5"/>
  <c r="CP33" i="5"/>
  <c r="CM33" i="5"/>
  <c r="BS33" i="5"/>
  <c r="BM33" i="5"/>
  <c r="BL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V33" i="5"/>
  <c r="AB33" i="5"/>
  <c r="Z33" i="5"/>
  <c r="G33" i="5"/>
  <c r="DG32" i="5"/>
  <c r="DF32" i="5"/>
  <c r="DD32" i="5"/>
  <c r="DC32" i="5"/>
  <c r="DB32" i="5"/>
  <c r="DA32" i="5"/>
  <c r="CZ32" i="5"/>
  <c r="CY32" i="5"/>
  <c r="CX32" i="5"/>
  <c r="CW32" i="5"/>
  <c r="CV32" i="5"/>
  <c r="CU32" i="5"/>
  <c r="CT32" i="5"/>
  <c r="CS32" i="5"/>
  <c r="CR32" i="5"/>
  <c r="CQ32" i="5"/>
  <c r="CP32" i="5"/>
  <c r="CM32" i="5"/>
  <c r="BM32" i="5"/>
  <c r="BL32" i="5"/>
  <c r="BJ32" i="5"/>
  <c r="BI32" i="5"/>
  <c r="BH32" i="5"/>
  <c r="BG32" i="5"/>
  <c r="BF32" i="5"/>
  <c r="BE32" i="5"/>
  <c r="BD32" i="5"/>
  <c r="BC32" i="5"/>
  <c r="BB32" i="5"/>
  <c r="BA32" i="5"/>
  <c r="AZ32" i="5"/>
  <c r="AY32" i="5"/>
  <c r="AV32" i="5"/>
  <c r="AB32" i="5" s="1"/>
  <c r="Z32" i="5"/>
  <c r="BQ32" i="5" s="1"/>
  <c r="DH31" i="5"/>
  <c r="DG31" i="5"/>
  <c r="DF31" i="5"/>
  <c r="DD31" i="5"/>
  <c r="DB31" i="5"/>
  <c r="DA31" i="5"/>
  <c r="CZ31" i="5"/>
  <c r="CY31" i="5"/>
  <c r="CX31" i="5"/>
  <c r="CW31" i="5"/>
  <c r="CV31" i="5"/>
  <c r="CU31" i="5"/>
  <c r="CT31" i="5"/>
  <c r="CS31" i="5"/>
  <c r="CR31" i="5"/>
  <c r="CQ31" i="5"/>
  <c r="CP31" i="5"/>
  <c r="CH31" i="5"/>
  <c r="DC31" i="5" s="1"/>
  <c r="BQ31" i="5"/>
  <c r="BM31" i="5"/>
  <c r="BK31" i="5"/>
  <c r="BJ31" i="5"/>
  <c r="BI31" i="5"/>
  <c r="BH31" i="5"/>
  <c r="BG31" i="5"/>
  <c r="BF31" i="5"/>
  <c r="BE31" i="5"/>
  <c r="BD31" i="5"/>
  <c r="BC31" i="5"/>
  <c r="BB31" i="5"/>
  <c r="BA31" i="5"/>
  <c r="AZ31" i="5"/>
  <c r="AY31" i="5"/>
  <c r="AX31" i="5" s="1"/>
  <c r="AQ31" i="5"/>
  <c r="BL31" i="5" s="1"/>
  <c r="G31" i="5"/>
  <c r="DH30" i="5"/>
  <c r="DG30" i="5"/>
  <c r="DF30" i="5"/>
  <c r="DD30" i="5"/>
  <c r="DB30" i="5"/>
  <c r="DA30" i="5"/>
  <c r="CY30" i="5"/>
  <c r="CX30" i="5"/>
  <c r="CW30" i="5"/>
  <c r="CV30" i="5"/>
  <c r="CU30" i="5"/>
  <c r="CT30" i="5"/>
  <c r="CS30" i="5"/>
  <c r="CR30" i="5"/>
  <c r="CQ30" i="5"/>
  <c r="CP30" i="5"/>
  <c r="CH30" i="5"/>
  <c r="DC30" i="5" s="1"/>
  <c r="CE30" i="5"/>
  <c r="BQ30" i="5"/>
  <c r="BM30" i="5"/>
  <c r="BK30" i="5"/>
  <c r="BJ30" i="5"/>
  <c r="BI30" i="5"/>
  <c r="BH30" i="5"/>
  <c r="BG30" i="5"/>
  <c r="BF30" i="5"/>
  <c r="BE30" i="5"/>
  <c r="BD30" i="5"/>
  <c r="BC30" i="5"/>
  <c r="BB30" i="5"/>
  <c r="BA30" i="5"/>
  <c r="AZ30" i="5"/>
  <c r="AY30" i="5"/>
  <c r="AQ30" i="5"/>
  <c r="BL30" i="5" s="1"/>
  <c r="AN30" i="5"/>
  <c r="AN140" i="5" s="1"/>
  <c r="AB30" i="5"/>
  <c r="G30" i="5"/>
  <c r="DH29" i="5"/>
  <c r="DG29" i="5"/>
  <c r="DF29" i="5"/>
  <c r="DD29" i="5"/>
  <c r="DB29" i="5"/>
  <c r="DA29" i="5"/>
  <c r="CZ29" i="5"/>
  <c r="CY29" i="5"/>
  <c r="CX29" i="5"/>
  <c r="CW29" i="5"/>
  <c r="CV29" i="5"/>
  <c r="CU29" i="5"/>
  <c r="CT29" i="5"/>
  <c r="CS29" i="5"/>
  <c r="CR29" i="5"/>
  <c r="CQ29" i="5"/>
  <c r="CP29" i="5"/>
  <c r="CH29" i="5"/>
  <c r="BS29" i="5"/>
  <c r="BQ29" i="5"/>
  <c r="BM29" i="5"/>
  <c r="BK29" i="5"/>
  <c r="BJ29" i="5"/>
  <c r="BI29" i="5"/>
  <c r="BH29" i="5"/>
  <c r="BG29" i="5"/>
  <c r="BF29" i="5"/>
  <c r="BE29" i="5"/>
  <c r="BD29" i="5"/>
  <c r="BC29" i="5"/>
  <c r="BB29" i="5"/>
  <c r="BA29" i="5"/>
  <c r="AZ29" i="5"/>
  <c r="AY29" i="5"/>
  <c r="AQ29" i="5"/>
  <c r="AB29" i="5" s="1"/>
  <c r="U29" i="5"/>
  <c r="DC29" i="5" s="1"/>
  <c r="DH28" i="5"/>
  <c r="DG28" i="5"/>
  <c r="DF28" i="5"/>
  <c r="DD28" i="5"/>
  <c r="DB28" i="5"/>
  <c r="DA28" i="5"/>
  <c r="CZ28" i="5"/>
  <c r="CY28" i="5"/>
  <c r="CX28" i="5"/>
  <c r="CW28" i="5"/>
  <c r="CV28" i="5"/>
  <c r="CU28" i="5"/>
  <c r="CT28" i="5"/>
  <c r="CS28" i="5"/>
  <c r="CR28" i="5"/>
  <c r="CQ28" i="5"/>
  <c r="CP28" i="5"/>
  <c r="BS28" i="5"/>
  <c r="BQ28" i="5"/>
  <c r="BM28" i="5"/>
  <c r="BK28" i="5"/>
  <c r="BJ28" i="5"/>
  <c r="BI28" i="5"/>
  <c r="BH28" i="5"/>
  <c r="BG28" i="5"/>
  <c r="BF28" i="5"/>
  <c r="BE28" i="5"/>
  <c r="BD28" i="5"/>
  <c r="BC28" i="5"/>
  <c r="BB28" i="5"/>
  <c r="BA28" i="5"/>
  <c r="AZ28" i="5"/>
  <c r="AY28" i="5"/>
  <c r="AB28" i="5"/>
  <c r="U28" i="5"/>
  <c r="BL28" i="5" s="1"/>
  <c r="DH27" i="5"/>
  <c r="DG27" i="5"/>
  <c r="DF27" i="5"/>
  <c r="DD27" i="5"/>
  <c r="DB27" i="5"/>
  <c r="DA27" i="5"/>
  <c r="CZ27" i="5"/>
  <c r="CY27" i="5"/>
  <c r="CX27" i="5"/>
  <c r="CW27" i="5"/>
  <c r="CV27" i="5"/>
  <c r="CU27" i="5"/>
  <c r="CT27" i="5"/>
  <c r="CS27" i="5"/>
  <c r="CR27" i="5"/>
  <c r="CQ27" i="5"/>
  <c r="CP27" i="5"/>
  <c r="CH27" i="5"/>
  <c r="BS27" i="5" s="1"/>
  <c r="BQ27" i="5"/>
  <c r="BM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Q27" i="5"/>
  <c r="G27" i="5"/>
  <c r="DH26" i="5"/>
  <c r="DG26" i="5"/>
  <c r="DF26" i="5"/>
  <c r="DD26" i="5"/>
  <c r="DB26" i="5"/>
  <c r="DA26" i="5"/>
  <c r="CZ26" i="5"/>
  <c r="CY26" i="5"/>
  <c r="CX26" i="5"/>
  <c r="CW26" i="5"/>
  <c r="CV26" i="5"/>
  <c r="CU26" i="5"/>
  <c r="CT26" i="5"/>
  <c r="CS26" i="5"/>
  <c r="CR26" i="5"/>
  <c r="CQ26" i="5"/>
  <c r="CP26" i="5"/>
  <c r="CH26" i="5"/>
  <c r="DC26" i="5" s="1"/>
  <c r="BQ26" i="5"/>
  <c r="BM26" i="5"/>
  <c r="BK26" i="5"/>
  <c r="BJ26" i="5"/>
  <c r="BI26" i="5"/>
  <c r="BH26" i="5"/>
  <c r="BG26" i="5"/>
  <c r="BF26" i="5"/>
  <c r="BE26" i="5"/>
  <c r="BD26" i="5"/>
  <c r="BC26" i="5"/>
  <c r="BB26" i="5"/>
  <c r="BA26" i="5"/>
  <c r="AZ26" i="5"/>
  <c r="AY26" i="5"/>
  <c r="AQ26" i="5"/>
  <c r="AB26" i="5" s="1"/>
  <c r="G26" i="5"/>
  <c r="CQ25" i="5"/>
  <c r="CO25" i="5" s="1"/>
  <c r="BS25" i="5"/>
  <c r="BR25" i="5" s="1"/>
  <c r="CN25" i="5" s="1"/>
  <c r="AE25" i="5"/>
  <c r="G25" i="5"/>
  <c r="BV24" i="5"/>
  <c r="BS24" i="5" s="1"/>
  <c r="AE24" i="5"/>
  <c r="AB24" i="5" s="1"/>
  <c r="G24" i="5"/>
  <c r="DH23" i="5"/>
  <c r="DG23" i="5"/>
  <c r="DF23" i="5"/>
  <c r="DD23" i="5"/>
  <c r="DC23" i="5"/>
  <c r="DB23" i="5"/>
  <c r="DA23" i="5"/>
  <c r="CZ23" i="5"/>
  <c r="CY23" i="5"/>
  <c r="CX23" i="5"/>
  <c r="CW23" i="5"/>
  <c r="CV23" i="5"/>
  <c r="CU23" i="5"/>
  <c r="CT23" i="5"/>
  <c r="CS23" i="5"/>
  <c r="CR23" i="5"/>
  <c r="CQ23" i="5"/>
  <c r="CP23" i="5"/>
  <c r="BV23" i="5"/>
  <c r="BS23" i="5" s="1"/>
  <c r="BM23" i="5"/>
  <c r="BL23" i="5"/>
  <c r="BK23" i="5"/>
  <c r="BJ23" i="5"/>
  <c r="BI23" i="5"/>
  <c r="BH23" i="5"/>
  <c r="BG23" i="5"/>
  <c r="BF23" i="5"/>
  <c r="BE23" i="5"/>
  <c r="BD23" i="5"/>
  <c r="BC23" i="5"/>
  <c r="BB23" i="5"/>
  <c r="BA23" i="5"/>
  <c r="AY23" i="5"/>
  <c r="AV23" i="5"/>
  <c r="AE23" i="5"/>
  <c r="I23" i="5"/>
  <c r="G23" i="5" s="1"/>
  <c r="DH22" i="5"/>
  <c r="DG22" i="5"/>
  <c r="DF22" i="5"/>
  <c r="DD22" i="5"/>
  <c r="DC22" i="5"/>
  <c r="DB22" i="5"/>
  <c r="DA22" i="5"/>
  <c r="CZ22" i="5"/>
  <c r="CY22" i="5"/>
  <c r="CX22" i="5"/>
  <c r="CW22" i="5"/>
  <c r="CV22" i="5"/>
  <c r="CU22" i="5"/>
  <c r="CT22" i="5"/>
  <c r="CS22" i="5"/>
  <c r="CR22" i="5"/>
  <c r="CQ22" i="5"/>
  <c r="CP22" i="5"/>
  <c r="BV22" i="5"/>
  <c r="BS22" i="5" s="1"/>
  <c r="BQ22" i="5"/>
  <c r="BM22" i="5"/>
  <c r="BL22" i="5"/>
  <c r="BK22" i="5"/>
  <c r="BJ22" i="5"/>
  <c r="BI22" i="5"/>
  <c r="BH22" i="5"/>
  <c r="BG22" i="5"/>
  <c r="BF22" i="5"/>
  <c r="BE22" i="5"/>
  <c r="BD22" i="5"/>
  <c r="BC22" i="5"/>
  <c r="BB22" i="5"/>
  <c r="BA22" i="5"/>
  <c r="AY22" i="5"/>
  <c r="AE22" i="5"/>
  <c r="AZ22" i="5" s="1"/>
  <c r="AB22" i="5"/>
  <c r="G22" i="5"/>
  <c r="DH21" i="5"/>
  <c r="DG21" i="5"/>
  <c r="DF21" i="5"/>
  <c r="DF140" i="5" s="1"/>
  <c r="DD21" i="5"/>
  <c r="DC21" i="5"/>
  <c r="DB21" i="5"/>
  <c r="DA21" i="5"/>
  <c r="CZ21" i="5"/>
  <c r="CY21" i="5"/>
  <c r="CX21" i="5"/>
  <c r="CW21" i="5"/>
  <c r="CV21" i="5"/>
  <c r="CU21" i="5"/>
  <c r="CT21" i="5"/>
  <c r="CS21" i="5"/>
  <c r="CR21" i="5"/>
  <c r="CP21" i="5"/>
  <c r="BV21" i="5"/>
  <c r="BQ21" i="5"/>
  <c r="BM21" i="5"/>
  <c r="BL21" i="5"/>
  <c r="BK21" i="5"/>
  <c r="BJ21" i="5"/>
  <c r="BI21" i="5"/>
  <c r="BH21" i="5"/>
  <c r="BG21" i="5"/>
  <c r="BF21" i="5"/>
  <c r="BE21" i="5"/>
  <c r="BD21" i="5"/>
  <c r="BC21" i="5"/>
  <c r="BB21" i="5"/>
  <c r="BA21" i="5"/>
  <c r="AY21" i="5"/>
  <c r="AE21" i="5"/>
  <c r="AZ21" i="5" s="1"/>
  <c r="AB21" i="5"/>
  <c r="G21" i="5"/>
  <c r="DE20" i="5"/>
  <c r="CL20" i="5"/>
  <c r="CK20" i="5"/>
  <c r="CI20" i="5"/>
  <c r="CH20" i="5"/>
  <c r="CE20" i="5"/>
  <c r="CD20" i="5"/>
  <c r="CC20" i="5"/>
  <c r="CB20" i="5"/>
  <c r="CA20" i="5"/>
  <c r="BZ20" i="5"/>
  <c r="BZ135" i="5" s="1"/>
  <c r="BW20" i="5"/>
  <c r="BU20" i="5"/>
  <c r="BT20" i="5"/>
  <c r="AU20" i="5"/>
  <c r="AT20" i="5"/>
  <c r="AS20" i="5"/>
  <c r="AR20" i="5"/>
  <c r="AQ20" i="5"/>
  <c r="AN20" i="5"/>
  <c r="AM20" i="5"/>
  <c r="AL20" i="5"/>
  <c r="AK20" i="5"/>
  <c r="AK135" i="5" s="1"/>
  <c r="AJ20" i="5"/>
  <c r="AJ135" i="5" s="1"/>
  <c r="AI20" i="5"/>
  <c r="AF20" i="5"/>
  <c r="AD20" i="5"/>
  <c r="Y20" i="5"/>
  <c r="X20" i="5"/>
  <c r="X135" i="5" s="1"/>
  <c r="V20" i="5"/>
  <c r="U20" i="5"/>
  <c r="T20" i="5"/>
  <c r="S20" i="5"/>
  <c r="R20" i="5"/>
  <c r="Q20" i="5"/>
  <c r="P20" i="5"/>
  <c r="O20" i="5"/>
  <c r="N20" i="5"/>
  <c r="M20" i="5"/>
  <c r="L20" i="5"/>
  <c r="J20" i="5"/>
  <c r="H20" i="5"/>
  <c r="DG19" i="5"/>
  <c r="DF19" i="5"/>
  <c r="DD19" i="5"/>
  <c r="DC19" i="5"/>
  <c r="DB19" i="5"/>
  <c r="DA19" i="5"/>
  <c r="CZ19" i="5"/>
  <c r="CY19" i="5"/>
  <c r="CX19" i="5"/>
  <c r="CW19" i="5"/>
  <c r="CV19" i="5"/>
  <c r="CU19" i="5"/>
  <c r="CT19" i="5"/>
  <c r="CR19" i="5"/>
  <c r="CQ19" i="5"/>
  <c r="CP19" i="5"/>
  <c r="CM19" i="5"/>
  <c r="BX19" i="5"/>
  <c r="BP19" i="5"/>
  <c r="BM19" i="5"/>
  <c r="BL19" i="5"/>
  <c r="BK19" i="5"/>
  <c r="BJ19" i="5"/>
  <c r="BI19" i="5"/>
  <c r="BH19" i="5"/>
  <c r="BG19" i="5"/>
  <c r="BF19" i="5"/>
  <c r="BE19" i="5"/>
  <c r="BD19" i="5"/>
  <c r="BC19" i="5"/>
  <c r="BA19" i="5"/>
  <c r="AZ19" i="5"/>
  <c r="AY19" i="5"/>
  <c r="AV19" i="5"/>
  <c r="AG19" i="5"/>
  <c r="Z19" i="5"/>
  <c r="K19" i="5"/>
  <c r="CS19" i="5" s="1"/>
  <c r="DH18" i="5"/>
  <c r="DG18" i="5"/>
  <c r="DF18" i="5"/>
  <c r="DD18" i="5"/>
  <c r="DC18" i="5"/>
  <c r="DB18" i="5"/>
  <c r="DA18" i="5"/>
  <c r="CZ18" i="5"/>
  <c r="CY18" i="5"/>
  <c r="CX18" i="5"/>
  <c r="CW18" i="5"/>
  <c r="CV18" i="5"/>
  <c r="CU18" i="5"/>
  <c r="CT18" i="5"/>
  <c r="CR18" i="5"/>
  <c r="CQ18" i="5"/>
  <c r="CP18" i="5"/>
  <c r="BX18" i="5"/>
  <c r="BQ18" i="5"/>
  <c r="BP18" i="5"/>
  <c r="BM18" i="5"/>
  <c r="BL18" i="5"/>
  <c r="BK18" i="5"/>
  <c r="BJ18" i="5"/>
  <c r="BI18" i="5"/>
  <c r="BH18" i="5"/>
  <c r="BG18" i="5"/>
  <c r="BF18" i="5"/>
  <c r="BE18" i="5"/>
  <c r="BD18" i="5"/>
  <c r="BC18" i="5"/>
  <c r="BA18" i="5"/>
  <c r="AZ18" i="5"/>
  <c r="AY18" i="5"/>
  <c r="AG18" i="5"/>
  <c r="K18" i="5"/>
  <c r="G18" i="5" s="1"/>
  <c r="DH17" i="5"/>
  <c r="DG17" i="5"/>
  <c r="DF17" i="5"/>
  <c r="DD17" i="5"/>
  <c r="DC17" i="5"/>
  <c r="DB17" i="5"/>
  <c r="DA17" i="5"/>
  <c r="CZ17" i="5"/>
  <c r="CY17" i="5"/>
  <c r="CX17" i="5"/>
  <c r="CW17" i="5"/>
  <c r="CV17" i="5"/>
  <c r="CU17" i="5"/>
  <c r="CT17" i="5"/>
  <c r="CR17" i="5"/>
  <c r="CQ17" i="5"/>
  <c r="CP17" i="5"/>
  <c r="BX17" i="5"/>
  <c r="BQ17" i="5"/>
  <c r="BP17" i="5"/>
  <c r="BO17" i="5"/>
  <c r="BM17" i="5"/>
  <c r="BL17" i="5"/>
  <c r="BK17" i="5"/>
  <c r="BJ17" i="5"/>
  <c r="BI17" i="5"/>
  <c r="BH17" i="5"/>
  <c r="BG17" i="5"/>
  <c r="BF17" i="5"/>
  <c r="BE17" i="5"/>
  <c r="BD17" i="5"/>
  <c r="BC17" i="5"/>
  <c r="BA17" i="5"/>
  <c r="AZ17" i="5"/>
  <c r="AY17" i="5"/>
  <c r="AG17" i="5"/>
  <c r="AB17" i="5"/>
  <c r="K17" i="5"/>
  <c r="BB17" i="5" s="1"/>
  <c r="G17" i="5"/>
  <c r="DG16" i="5"/>
  <c r="DF16" i="5"/>
  <c r="DD16" i="5"/>
  <c r="DC16" i="5"/>
  <c r="DB16" i="5"/>
  <c r="DA16" i="5"/>
  <c r="CZ16" i="5"/>
  <c r="CY16" i="5"/>
  <c r="CX16" i="5"/>
  <c r="CW16" i="5"/>
  <c r="CV16" i="5"/>
  <c r="CU16" i="5"/>
  <c r="CT16" i="5"/>
  <c r="CS16" i="5"/>
  <c r="CR16" i="5"/>
  <c r="CQ16" i="5"/>
  <c r="CP16" i="5"/>
  <c r="BS16" i="5"/>
  <c r="BP16" i="5"/>
  <c r="BM16" i="5"/>
  <c r="BL16" i="5"/>
  <c r="BK16" i="5"/>
  <c r="BJ16" i="5"/>
  <c r="BI16" i="5"/>
  <c r="BH16" i="5"/>
  <c r="BG16" i="5"/>
  <c r="BF16" i="5"/>
  <c r="BE16" i="5"/>
  <c r="BD16" i="5"/>
  <c r="BC16" i="5"/>
  <c r="BB16" i="5"/>
  <c r="BA16" i="5"/>
  <c r="AZ16" i="5"/>
  <c r="AY16" i="5"/>
  <c r="AB16" i="5"/>
  <c r="Z16" i="5"/>
  <c r="DH15" i="5"/>
  <c r="DG15" i="5"/>
  <c r="DF15" i="5"/>
  <c r="DD15" i="5"/>
  <c r="DC15" i="5"/>
  <c r="DB15" i="5"/>
  <c r="CZ15" i="5"/>
  <c r="CY15" i="5"/>
  <c r="CX15" i="5"/>
  <c r="CW15" i="5"/>
  <c r="CV15" i="5"/>
  <c r="CU15" i="5"/>
  <c r="CT15" i="5"/>
  <c r="CR15" i="5"/>
  <c r="CQ15" i="5"/>
  <c r="CP15" i="5"/>
  <c r="BX15" i="5"/>
  <c r="BQ15" i="5"/>
  <c r="BP15" i="5"/>
  <c r="BM15" i="5"/>
  <c r="BL15" i="5"/>
  <c r="BK15" i="5"/>
  <c r="BI15" i="5"/>
  <c r="BH15" i="5"/>
  <c r="BG15" i="5"/>
  <c r="BF15" i="5"/>
  <c r="BE15" i="5"/>
  <c r="BD15" i="5"/>
  <c r="BC15" i="5"/>
  <c r="BA15" i="5"/>
  <c r="AZ15" i="5"/>
  <c r="AY15" i="5"/>
  <c r="AO15" i="5"/>
  <c r="AO20" i="5" s="1"/>
  <c r="AG15" i="5"/>
  <c r="BB15" i="5" s="1"/>
  <c r="G15" i="5"/>
  <c r="DH14" i="5"/>
  <c r="DG14" i="5"/>
  <c r="DF14" i="5"/>
  <c r="DD14" i="5"/>
  <c r="DC14" i="5"/>
  <c r="DB14" i="5"/>
  <c r="DA14" i="5"/>
  <c r="CZ14" i="5"/>
  <c r="CY14" i="5"/>
  <c r="CX14" i="5"/>
  <c r="CW14" i="5"/>
  <c r="CV14" i="5"/>
  <c r="CU14" i="5"/>
  <c r="CT14" i="5"/>
  <c r="CS14" i="5"/>
  <c r="CR14" i="5"/>
  <c r="CQ14" i="5"/>
  <c r="CP14" i="5"/>
  <c r="BX14" i="5"/>
  <c r="BS14" i="5" s="1"/>
  <c r="BQ14" i="5"/>
  <c r="BP14" i="5"/>
  <c r="BO14" i="5"/>
  <c r="BM14" i="5"/>
  <c r="BL14" i="5"/>
  <c r="BK14" i="5"/>
  <c r="BJ14" i="5"/>
  <c r="BI14" i="5"/>
  <c r="BH14" i="5"/>
  <c r="BG14" i="5"/>
  <c r="BF14" i="5"/>
  <c r="BE14" i="5"/>
  <c r="BD14" i="5"/>
  <c r="BC14" i="5"/>
  <c r="BA14" i="5"/>
  <c r="AZ14" i="5"/>
  <c r="AY14" i="5"/>
  <c r="AG14" i="5"/>
  <c r="G14" i="5"/>
  <c r="DG13" i="5"/>
  <c r="DF13" i="5"/>
  <c r="DD13" i="5"/>
  <c r="DC13" i="5"/>
  <c r="DA13" i="5"/>
  <c r="CZ13" i="5"/>
  <c r="CY13" i="5"/>
  <c r="CX13" i="5"/>
  <c r="CW13" i="5"/>
  <c r="CV13" i="5"/>
  <c r="CU13" i="5"/>
  <c r="CR13" i="5"/>
  <c r="CQ13" i="5"/>
  <c r="CP13" i="5"/>
  <c r="CM13" i="5"/>
  <c r="CG13" i="5"/>
  <c r="BY13" i="5"/>
  <c r="BY141" i="5" s="1"/>
  <c r="BP13" i="5"/>
  <c r="BM13" i="5"/>
  <c r="BL13" i="5"/>
  <c r="BJ13" i="5"/>
  <c r="BI13" i="5"/>
  <c r="BH13" i="5"/>
  <c r="BG13" i="5"/>
  <c r="BF13" i="5"/>
  <c r="BE13" i="5"/>
  <c r="BD13" i="5"/>
  <c r="BB13" i="5"/>
  <c r="BA13" i="5"/>
  <c r="AZ13" i="5"/>
  <c r="AY13" i="5"/>
  <c r="AV13" i="5"/>
  <c r="AP13" i="5"/>
  <c r="AP141" i="5" s="1"/>
  <c r="AH13" i="5"/>
  <c r="AH141" i="5" s="1"/>
  <c r="Z13" i="5"/>
  <c r="G13" i="5" s="1"/>
  <c r="DH12" i="5"/>
  <c r="DG12" i="5"/>
  <c r="DF12" i="5"/>
  <c r="DD12" i="5"/>
  <c r="DC12" i="5"/>
  <c r="DB12" i="5"/>
  <c r="DA12" i="5"/>
  <c r="CZ12" i="5"/>
  <c r="CY12" i="5"/>
  <c r="CX12" i="5"/>
  <c r="CW12" i="5"/>
  <c r="CV12" i="5"/>
  <c r="CU12" i="5"/>
  <c r="CT12" i="5"/>
  <c r="CR12" i="5"/>
  <c r="CQ12" i="5"/>
  <c r="CP12" i="5"/>
  <c r="BX12" i="5"/>
  <c r="CS12" i="5" s="1"/>
  <c r="BQ12" i="5"/>
  <c r="BP12" i="5"/>
  <c r="BM12" i="5"/>
  <c r="BL12" i="5"/>
  <c r="BK12" i="5"/>
  <c r="BJ12" i="5"/>
  <c r="BI12" i="5"/>
  <c r="BH12" i="5"/>
  <c r="BG12" i="5"/>
  <c r="BF12" i="5"/>
  <c r="BE12" i="5"/>
  <c r="BD12" i="5"/>
  <c r="BC12" i="5"/>
  <c r="BA12" i="5"/>
  <c r="AZ12" i="5"/>
  <c r="AY12" i="5"/>
  <c r="AG12" i="5"/>
  <c r="BB12" i="5" s="1"/>
  <c r="G12" i="5"/>
  <c r="DH11" i="5"/>
  <c r="DG11" i="5"/>
  <c r="DF11" i="5"/>
  <c r="DD11" i="5"/>
  <c r="DC11" i="5"/>
  <c r="DB11" i="5"/>
  <c r="DA11" i="5"/>
  <c r="CZ11" i="5"/>
  <c r="CY11" i="5"/>
  <c r="CX11" i="5"/>
  <c r="CW11" i="5"/>
  <c r="CV11" i="5"/>
  <c r="CU11" i="5"/>
  <c r="CT11" i="5"/>
  <c r="CS11" i="5"/>
  <c r="CR11" i="5"/>
  <c r="CP11" i="5"/>
  <c r="BV11" i="5"/>
  <c r="CQ11" i="5" s="1"/>
  <c r="BS11" i="5"/>
  <c r="BR11" i="5" s="1"/>
  <c r="CN11" i="5" s="1"/>
  <c r="BQ11" i="5"/>
  <c r="BP11" i="5"/>
  <c r="BM11" i="5"/>
  <c r="BL11" i="5"/>
  <c r="BK11" i="5"/>
  <c r="BJ11" i="5"/>
  <c r="BI11" i="5"/>
  <c r="BH11" i="5"/>
  <c r="BG11" i="5"/>
  <c r="BF11" i="5"/>
  <c r="BE11" i="5"/>
  <c r="BD11" i="5"/>
  <c r="BC11" i="5"/>
  <c r="BB11" i="5"/>
  <c r="BA11" i="5"/>
  <c r="AZ11" i="5"/>
  <c r="AY11" i="5"/>
  <c r="AX11" i="5" s="1"/>
  <c r="AE11" i="5"/>
  <c r="AB11" i="5" s="1"/>
  <c r="AA11" i="5" s="1"/>
  <c r="AW11" i="5" s="1"/>
  <c r="G11" i="5"/>
  <c r="DH10" i="5"/>
  <c r="DG10" i="5"/>
  <c r="DF10" i="5"/>
  <c r="DD10" i="5"/>
  <c r="DC10" i="5"/>
  <c r="DB10" i="5"/>
  <c r="DA10" i="5"/>
  <c r="CZ10" i="5"/>
  <c r="CY10" i="5"/>
  <c r="CX10" i="5"/>
  <c r="CW10" i="5"/>
  <c r="CV10" i="5"/>
  <c r="CU10" i="5"/>
  <c r="CT10" i="5"/>
  <c r="CR10" i="5"/>
  <c r="CQ10" i="5"/>
  <c r="CP10" i="5"/>
  <c r="BX10" i="5"/>
  <c r="BS10" i="5" s="1"/>
  <c r="BQ10" i="5"/>
  <c r="BP10" i="5"/>
  <c r="BM10" i="5"/>
  <c r="BL10" i="5"/>
  <c r="BK10" i="5"/>
  <c r="BJ10" i="5"/>
  <c r="BI10" i="5"/>
  <c r="BH10" i="5"/>
  <c r="BG10" i="5"/>
  <c r="BF10" i="5"/>
  <c r="BE10" i="5"/>
  <c r="BD10" i="5"/>
  <c r="BC10" i="5"/>
  <c r="BA10" i="5"/>
  <c r="AZ10" i="5"/>
  <c r="AY10" i="5"/>
  <c r="AG10" i="5"/>
  <c r="AB10" i="5" s="1"/>
  <c r="K10" i="5"/>
  <c r="DG9" i="5"/>
  <c r="DF9" i="5"/>
  <c r="DD9" i="5"/>
  <c r="DC9" i="5"/>
  <c r="DB9" i="5"/>
  <c r="DA9" i="5"/>
  <c r="CZ9" i="5"/>
  <c r="CY9" i="5"/>
  <c r="CX9" i="5"/>
  <c r="CW9" i="5"/>
  <c r="CV9" i="5"/>
  <c r="CU9" i="5"/>
  <c r="CT9" i="5"/>
  <c r="CR9" i="5"/>
  <c r="CP9" i="5"/>
  <c r="CM9" i="5"/>
  <c r="BP9" i="5"/>
  <c r="BM9" i="5"/>
  <c r="BL9" i="5"/>
  <c r="BK9" i="5"/>
  <c r="BJ9" i="5"/>
  <c r="BI9" i="5"/>
  <c r="BH9" i="5"/>
  <c r="BG9" i="5"/>
  <c r="BF9" i="5"/>
  <c r="BE9" i="5"/>
  <c r="BD9" i="5"/>
  <c r="BC9" i="5"/>
  <c r="BA9" i="5"/>
  <c r="AY9" i="5"/>
  <c r="AV9" i="5"/>
  <c r="AV139" i="5" s="1"/>
  <c r="AG9" i="5"/>
  <c r="AE9" i="5"/>
  <c r="Z9" i="5"/>
  <c r="K9" i="5"/>
  <c r="CS9" i="5" s="1"/>
  <c r="I9" i="5"/>
  <c r="DH8" i="5"/>
  <c r="DG8" i="5"/>
  <c r="DF8" i="5"/>
  <c r="DD8" i="5"/>
  <c r="DC8" i="5"/>
  <c r="DB8" i="5"/>
  <c r="DA8" i="5"/>
  <c r="CZ8" i="5"/>
  <c r="CY8" i="5"/>
  <c r="CY139" i="5" s="1"/>
  <c r="CX8" i="5"/>
  <c r="CW8" i="5"/>
  <c r="CV8" i="5"/>
  <c r="CU8" i="5"/>
  <c r="CT8" i="5"/>
  <c r="CR8" i="5"/>
  <c r="CP8" i="5"/>
  <c r="BX8" i="5"/>
  <c r="BV8" i="5"/>
  <c r="CQ8" i="5" s="1"/>
  <c r="BQ8" i="5"/>
  <c r="BP8" i="5"/>
  <c r="BM8" i="5"/>
  <c r="BL8" i="5"/>
  <c r="BK8" i="5"/>
  <c r="BJ8" i="5"/>
  <c r="BI8" i="5"/>
  <c r="BH8" i="5"/>
  <c r="BG8" i="5"/>
  <c r="BF8" i="5"/>
  <c r="BE8" i="5"/>
  <c r="BD8" i="5"/>
  <c r="BC8" i="5"/>
  <c r="BA8" i="5"/>
  <c r="AY8" i="5"/>
  <c r="AY139" i="5" s="1"/>
  <c r="AG8" i="5"/>
  <c r="AE8" i="5"/>
  <c r="K8" i="5"/>
  <c r="I8" i="5"/>
  <c r="G8" i="5"/>
  <c r="DG7" i="5"/>
  <c r="DF7" i="5"/>
  <c r="DD7" i="5"/>
  <c r="DC7" i="5"/>
  <c r="DB7" i="5"/>
  <c r="DA7" i="5"/>
  <c r="CZ7" i="5"/>
  <c r="CY7" i="5"/>
  <c r="CX7" i="5"/>
  <c r="CW7" i="5"/>
  <c r="CV7" i="5"/>
  <c r="CV20" i="5" s="1"/>
  <c r="CU7" i="5"/>
  <c r="CT7" i="5"/>
  <c r="CR7" i="5"/>
  <c r="CP7" i="5"/>
  <c r="CM7" i="5"/>
  <c r="BS7" i="5"/>
  <c r="BP7" i="5"/>
  <c r="BM7" i="5"/>
  <c r="BL7" i="5"/>
  <c r="BK7" i="5"/>
  <c r="BJ7" i="5"/>
  <c r="BI7" i="5"/>
  <c r="BH7" i="5"/>
  <c r="BG7" i="5"/>
  <c r="BF7" i="5"/>
  <c r="BE7" i="5"/>
  <c r="BD7" i="5"/>
  <c r="BC7" i="5"/>
  <c r="BA7" i="5"/>
  <c r="AZ7" i="5"/>
  <c r="AY7" i="5"/>
  <c r="AV7" i="5"/>
  <c r="AB7" i="5"/>
  <c r="Z7" i="5"/>
  <c r="K7" i="5"/>
  <c r="I7" i="5"/>
  <c r="CQ7" i="5" s="1"/>
  <c r="DH6" i="5"/>
  <c r="DG6" i="5"/>
  <c r="DF6" i="5"/>
  <c r="DD6" i="5"/>
  <c r="DC6" i="5"/>
  <c r="DB6" i="5"/>
  <c r="DA6" i="5"/>
  <c r="CZ6" i="5"/>
  <c r="CY6" i="5"/>
  <c r="CX6" i="5"/>
  <c r="CW6" i="5"/>
  <c r="CV6" i="5"/>
  <c r="CU6" i="5"/>
  <c r="CT6" i="5"/>
  <c r="CR6" i="5"/>
  <c r="CP6" i="5"/>
  <c r="BX6" i="5"/>
  <c r="BS6" i="5" s="1"/>
  <c r="BQ6" i="5"/>
  <c r="BP6" i="5"/>
  <c r="BM6" i="5"/>
  <c r="BL6" i="5"/>
  <c r="BK6" i="5"/>
  <c r="BJ6" i="5"/>
  <c r="BI6" i="5"/>
  <c r="BH6" i="5"/>
  <c r="BG6" i="5"/>
  <c r="BF6" i="5"/>
  <c r="BE6" i="5"/>
  <c r="BD6" i="5"/>
  <c r="BC6" i="5"/>
  <c r="BA6" i="5"/>
  <c r="AY6" i="5"/>
  <c r="AG6" i="5"/>
  <c r="AB6" i="5" s="1"/>
  <c r="K6" i="5"/>
  <c r="I6" i="5"/>
  <c r="G6" i="5" s="1"/>
  <c r="DG5" i="5"/>
  <c r="DF5" i="5"/>
  <c r="DD5" i="5"/>
  <c r="DC5" i="5"/>
  <c r="DB5" i="5"/>
  <c r="DA5" i="5"/>
  <c r="CZ5" i="5"/>
  <c r="CY5" i="5"/>
  <c r="CX5" i="5"/>
  <c r="CW5" i="5"/>
  <c r="CV5" i="5"/>
  <c r="CU5" i="5"/>
  <c r="CT5" i="5"/>
  <c r="CR5" i="5"/>
  <c r="CP5" i="5"/>
  <c r="BX5" i="5"/>
  <c r="BP5" i="5"/>
  <c r="BM5" i="5"/>
  <c r="BL5" i="5"/>
  <c r="BK5" i="5"/>
  <c r="BJ5" i="5"/>
  <c r="BI5" i="5"/>
  <c r="BH5" i="5"/>
  <c r="BG5" i="5"/>
  <c r="BF5" i="5"/>
  <c r="BE5" i="5"/>
  <c r="BD5" i="5"/>
  <c r="BC5" i="5"/>
  <c r="BA5" i="5"/>
  <c r="AZ5" i="5"/>
  <c r="AY5" i="5"/>
  <c r="AV5" i="5"/>
  <c r="AB5" i="5" s="1"/>
  <c r="AG5" i="5"/>
  <c r="Z5" i="5"/>
  <c r="K5" i="5"/>
  <c r="I5" i="5"/>
  <c r="DH4" i="5"/>
  <c r="DG4" i="5"/>
  <c r="DF4" i="5"/>
  <c r="DD4" i="5"/>
  <c r="DC4" i="5"/>
  <c r="DB4" i="5"/>
  <c r="DA4" i="5"/>
  <c r="CZ4" i="5"/>
  <c r="CY4" i="5"/>
  <c r="CX4" i="5"/>
  <c r="CW4" i="5"/>
  <c r="CV4" i="5"/>
  <c r="CU4" i="5"/>
  <c r="CT4" i="5"/>
  <c r="CR4" i="5"/>
  <c r="CQ4" i="5"/>
  <c r="CP4" i="5"/>
  <c r="BX4" i="5"/>
  <c r="BQ4" i="5"/>
  <c r="BP4" i="5"/>
  <c r="BO4" i="5"/>
  <c r="BM4" i="5"/>
  <c r="BL4" i="5"/>
  <c r="BK4" i="5"/>
  <c r="BJ4" i="5"/>
  <c r="BI4" i="5"/>
  <c r="BH4" i="5"/>
  <c r="BG4" i="5"/>
  <c r="BF4" i="5"/>
  <c r="BE4" i="5"/>
  <c r="BD4" i="5"/>
  <c r="BC4" i="5"/>
  <c r="BB4" i="5"/>
  <c r="BA4" i="5"/>
  <c r="AZ4" i="5"/>
  <c r="AY4" i="5"/>
  <c r="AB4" i="5"/>
  <c r="G4" i="5"/>
  <c r="BL3" i="5"/>
  <c r="CH3" i="5" s="1"/>
  <c r="DC3" i="5" s="1"/>
  <c r="AP20" i="5" l="1"/>
  <c r="AO60" i="5"/>
  <c r="AA68" i="5"/>
  <c r="AW68" i="5" s="1"/>
  <c r="BS117" i="5"/>
  <c r="AX95" i="5"/>
  <c r="BS46" i="5"/>
  <c r="BR46" i="5" s="1"/>
  <c r="CN46" i="5" s="1"/>
  <c r="BM97" i="5"/>
  <c r="AB34" i="5"/>
  <c r="AB19" i="5"/>
  <c r="AB48" i="5"/>
  <c r="BS50" i="5"/>
  <c r="BQ54" i="5"/>
  <c r="AX54" i="5" s="1"/>
  <c r="CS74" i="5"/>
  <c r="CO74" i="5" s="1"/>
  <c r="BB80" i="5"/>
  <c r="AX80" i="5" s="1"/>
  <c r="AB105" i="5"/>
  <c r="AB114" i="5"/>
  <c r="CL140" i="5"/>
  <c r="CL144" i="5" s="1"/>
  <c r="CL146" i="5" s="1"/>
  <c r="BS49" i="5"/>
  <c r="AB58" i="5"/>
  <c r="AB91" i="5"/>
  <c r="AA91" i="5" s="1"/>
  <c r="AW91" i="5" s="1"/>
  <c r="CH113" i="5"/>
  <c r="BB131" i="5"/>
  <c r="AX131" i="5" s="1"/>
  <c r="CM139" i="5"/>
  <c r="BB85" i="5"/>
  <c r="AZ56" i="5"/>
  <c r="BS96" i="5"/>
  <c r="BR109" i="5"/>
  <c r="CN109" i="5" s="1"/>
  <c r="DC109" i="5"/>
  <c r="DC145" i="5" s="1"/>
  <c r="DH121" i="5"/>
  <c r="DA125" i="5"/>
  <c r="DA133" i="5" s="1"/>
  <c r="BS132" i="5"/>
  <c r="CG141" i="5"/>
  <c r="DB13" i="5"/>
  <c r="BL27" i="5"/>
  <c r="AB27" i="5"/>
  <c r="AA27" i="5" s="1"/>
  <c r="AW27" i="5" s="1"/>
  <c r="AA4" i="5"/>
  <c r="AW4" i="5" s="1"/>
  <c r="BS12" i="5"/>
  <c r="BR12" i="5" s="1"/>
  <c r="CN12" i="5" s="1"/>
  <c r="BR23" i="5"/>
  <c r="CN23" i="5" s="1"/>
  <c r="AA30" i="5"/>
  <c r="AW30" i="5" s="1"/>
  <c r="BS32" i="5"/>
  <c r="CM60" i="5"/>
  <c r="DE34" i="5"/>
  <c r="BP50" i="5"/>
  <c r="AB50" i="5"/>
  <c r="AA50" i="5" s="1"/>
  <c r="AW50" i="5" s="1"/>
  <c r="AX56" i="5"/>
  <c r="BS61" i="5"/>
  <c r="BR61" i="5" s="1"/>
  <c r="CN61" i="5" s="1"/>
  <c r="CO99" i="5"/>
  <c r="DH103" i="5"/>
  <c r="BQ103" i="5"/>
  <c r="BL103" i="5"/>
  <c r="AE145" i="5"/>
  <c r="AZ106" i="5"/>
  <c r="AZ145" i="5" s="1"/>
  <c r="BS127" i="5"/>
  <c r="BR127" i="5" s="1"/>
  <c r="CN127" i="5" s="1"/>
  <c r="CS127" i="5"/>
  <c r="CO127" i="5" s="1"/>
  <c r="DG41" i="5"/>
  <c r="DG60" i="5" s="1"/>
  <c r="BS4" i="5"/>
  <c r="BR4" i="5" s="1"/>
  <c r="CN4" i="5" s="1"/>
  <c r="CS4" i="5"/>
  <c r="CO4" i="5" s="1"/>
  <c r="CO12" i="5"/>
  <c r="CS8" i="5"/>
  <c r="DD20" i="5"/>
  <c r="BB18" i="5"/>
  <c r="AX18" i="5" s="1"/>
  <c r="CH40" i="5"/>
  <c r="DC40" i="5" s="1"/>
  <c r="AA44" i="5"/>
  <c r="AW44" i="5" s="1"/>
  <c r="AX85" i="5"/>
  <c r="BR88" i="5"/>
  <c r="CN88" i="5" s="1"/>
  <c r="BM108" i="5"/>
  <c r="AB108" i="5"/>
  <c r="AA108" i="5" s="1"/>
  <c r="AW108" i="5" s="1"/>
  <c r="Q133" i="5"/>
  <c r="BH114" i="5"/>
  <c r="Q137" i="5"/>
  <c r="CY114" i="5"/>
  <c r="AR144" i="5"/>
  <c r="W140" i="5"/>
  <c r="W144" i="5" s="1"/>
  <c r="W146" i="5" s="1"/>
  <c r="G34" i="5"/>
  <c r="AA57" i="5"/>
  <c r="AW57" i="5" s="1"/>
  <c r="AZ6" i="5"/>
  <c r="CQ6" i="5"/>
  <c r="BB74" i="5"/>
  <c r="AX74" i="5" s="1"/>
  <c r="G74" i="5"/>
  <c r="BR74" i="5" s="1"/>
  <c r="CN74" i="5" s="1"/>
  <c r="G105" i="5"/>
  <c r="DH105" i="5"/>
  <c r="CO105" i="5" s="1"/>
  <c r="AA109" i="5"/>
  <c r="AW109" i="5" s="1"/>
  <c r="CQ121" i="5"/>
  <c r="AZ121" i="5"/>
  <c r="CE140" i="5"/>
  <c r="BS30" i="5"/>
  <c r="BR30" i="5" s="1"/>
  <c r="CN30" i="5" s="1"/>
  <c r="CZ30" i="5"/>
  <c r="CZ140" i="5" s="1"/>
  <c r="CF60" i="5"/>
  <c r="DA40" i="5"/>
  <c r="CS10" i="5"/>
  <c r="CO10" i="5" s="1"/>
  <c r="AX17" i="5"/>
  <c r="AA24" i="5"/>
  <c r="AW24" i="5" s="1"/>
  <c r="BQ115" i="5"/>
  <c r="G115" i="5"/>
  <c r="CV133" i="5"/>
  <c r="AI144" i="5"/>
  <c r="AI146" i="5" s="1"/>
  <c r="CF15" i="5"/>
  <c r="CS15" i="5"/>
  <c r="BB90" i="5"/>
  <c r="AB90" i="5"/>
  <c r="BR72" i="5"/>
  <c r="CN72" i="5" s="1"/>
  <c r="BS19" i="5"/>
  <c r="AA105" i="5"/>
  <c r="AW105" i="5" s="1"/>
  <c r="AB9" i="5"/>
  <c r="AZ9" i="5"/>
  <c r="CV139" i="5"/>
  <c r="DD139" i="5"/>
  <c r="BD20" i="5"/>
  <c r="BL20" i="5"/>
  <c r="BS8" i="5"/>
  <c r="BR8" i="5" s="1"/>
  <c r="CN8" i="5" s="1"/>
  <c r="CW139" i="5"/>
  <c r="DF139" i="5"/>
  <c r="BS31" i="5"/>
  <c r="BR31" i="5" s="1"/>
  <c r="CN31" i="5" s="1"/>
  <c r="AB35" i="5"/>
  <c r="AA35" i="5" s="1"/>
  <c r="AW35" i="5" s="1"/>
  <c r="BL35" i="5"/>
  <c r="BS38" i="5"/>
  <c r="BR38" i="5" s="1"/>
  <c r="CN38" i="5" s="1"/>
  <c r="AB49" i="5"/>
  <c r="BL49" i="5"/>
  <c r="AX49" i="5" s="1"/>
  <c r="AB51" i="5"/>
  <c r="AA51" i="5" s="1"/>
  <c r="AW51" i="5" s="1"/>
  <c r="AZ51" i="5"/>
  <c r="AX51" i="5" s="1"/>
  <c r="BS59" i="5"/>
  <c r="BR59" i="5" s="1"/>
  <c r="CN59" i="5" s="1"/>
  <c r="DH59" i="5"/>
  <c r="CO71" i="5"/>
  <c r="CO80" i="5"/>
  <c r="AB104" i="5"/>
  <c r="AA104" i="5" s="1"/>
  <c r="AW104" i="5" s="1"/>
  <c r="BM107" i="5"/>
  <c r="AX107" i="5" s="1"/>
  <c r="AB107" i="5"/>
  <c r="AA107" i="5" s="1"/>
  <c r="AW107" i="5" s="1"/>
  <c r="AE113" i="5"/>
  <c r="AB115" i="5"/>
  <c r="AZ115" i="5"/>
  <c r="BW144" i="5"/>
  <c r="BW146" i="5" s="1"/>
  <c r="BQ122" i="5"/>
  <c r="AX122" i="5" s="1"/>
  <c r="V144" i="5"/>
  <c r="DB113" i="5"/>
  <c r="AX108" i="5"/>
  <c r="BC138" i="5"/>
  <c r="AX130" i="5"/>
  <c r="BA20" i="5"/>
  <c r="DB20" i="5"/>
  <c r="DB135" i="5" s="1"/>
  <c r="CO8" i="5"/>
  <c r="CX139" i="5"/>
  <c r="DG139" i="5"/>
  <c r="G10" i="5"/>
  <c r="AA10" i="5" s="1"/>
  <c r="AW10" i="5" s="1"/>
  <c r="BB10" i="5"/>
  <c r="AX10" i="5" s="1"/>
  <c r="BK13" i="5"/>
  <c r="AD135" i="5"/>
  <c r="CO22" i="5"/>
  <c r="CZ60" i="5"/>
  <c r="G32" i="5"/>
  <c r="AB38" i="5"/>
  <c r="AA38" i="5" s="1"/>
  <c r="AW38" i="5" s="1"/>
  <c r="BP41" i="5"/>
  <c r="G43" i="5"/>
  <c r="AA43" i="5" s="1"/>
  <c r="AW43" i="5" s="1"/>
  <c r="CZ43" i="5"/>
  <c r="DH49" i="5"/>
  <c r="DC55" i="5"/>
  <c r="AN60" i="5"/>
  <c r="G65" i="5"/>
  <c r="AB71" i="5"/>
  <c r="AA71" i="5" s="1"/>
  <c r="AW71" i="5" s="1"/>
  <c r="AX72" i="5"/>
  <c r="CO75" i="5"/>
  <c r="DH75" i="5"/>
  <c r="AB81" i="5"/>
  <c r="AA81" i="5" s="1"/>
  <c r="AW81" i="5" s="1"/>
  <c r="BJ82" i="5"/>
  <c r="AX82" i="5"/>
  <c r="BP113" i="5"/>
  <c r="AX97" i="5"/>
  <c r="CW113" i="5"/>
  <c r="BS102" i="5"/>
  <c r="BR102" i="5" s="1"/>
  <c r="CN102" i="5" s="1"/>
  <c r="BS103" i="5"/>
  <c r="BS104" i="5"/>
  <c r="BR104" i="5" s="1"/>
  <c r="CN104" i="5" s="1"/>
  <c r="AZ109" i="5"/>
  <c r="AZ113" i="5" s="1"/>
  <c r="AB112" i="5"/>
  <c r="DH114" i="5"/>
  <c r="BA138" i="5"/>
  <c r="BJ138" i="5"/>
  <c r="CZ138" i="5"/>
  <c r="CS138" i="5"/>
  <c r="CQ119" i="5"/>
  <c r="CG133" i="5"/>
  <c r="CO96" i="5"/>
  <c r="DC20" i="5"/>
  <c r="BL139" i="5"/>
  <c r="BB19" i="5"/>
  <c r="BD60" i="5"/>
  <c r="CO38" i="5"/>
  <c r="AX55" i="5"/>
  <c r="AX78" i="5"/>
  <c r="DA91" i="5"/>
  <c r="CO91" i="5" s="1"/>
  <c r="CI144" i="5"/>
  <c r="AH20" i="5"/>
  <c r="BR22" i="5"/>
  <c r="CN22" i="5" s="1"/>
  <c r="BE60" i="5"/>
  <c r="AB23" i="5"/>
  <c r="AA23" i="5" s="1"/>
  <c r="AW23" i="5" s="1"/>
  <c r="CQ24" i="5"/>
  <c r="CO24" i="5" s="1"/>
  <c r="AB31" i="5"/>
  <c r="AA31" i="5" s="1"/>
  <c r="AW31" i="5" s="1"/>
  <c r="AX32" i="5"/>
  <c r="CO35" i="5"/>
  <c r="DC36" i="5"/>
  <c r="G44" i="5"/>
  <c r="CO46" i="5"/>
  <c r="AX47" i="5"/>
  <c r="G49" i="5"/>
  <c r="CH58" i="5"/>
  <c r="R60" i="5"/>
  <c r="R135" i="5" s="1"/>
  <c r="CO73" i="5"/>
  <c r="BR81" i="5"/>
  <c r="CN81" i="5" s="1"/>
  <c r="L93" i="5"/>
  <c r="G98" i="5"/>
  <c r="AZ119" i="5"/>
  <c r="BS125" i="5"/>
  <c r="BR125" i="5" s="1"/>
  <c r="CN125" i="5" s="1"/>
  <c r="BQ105" i="5"/>
  <c r="BD139" i="5"/>
  <c r="BR14" i="5"/>
  <c r="CN14" i="5" s="1"/>
  <c r="H135" i="5"/>
  <c r="H147" i="5" s="1"/>
  <c r="BR24" i="5"/>
  <c r="CN24" i="5" s="1"/>
  <c r="AZ141" i="5"/>
  <c r="BF139" i="5"/>
  <c r="CA135" i="5"/>
  <c r="CA147" i="5" s="1"/>
  <c r="AX30" i="5"/>
  <c r="AB40" i="5"/>
  <c r="AX57" i="5"/>
  <c r="AB64" i="5"/>
  <c r="AA64" i="5" s="1"/>
  <c r="AW64" i="5" s="1"/>
  <c r="AB65" i="5"/>
  <c r="BB72" i="5"/>
  <c r="S93" i="5"/>
  <c r="S135" i="5" s="1"/>
  <c r="AX96" i="5"/>
  <c r="BS99" i="5"/>
  <c r="BM102" i="5"/>
  <c r="AX102" i="5" s="1"/>
  <c r="DH104" i="5"/>
  <c r="DH145" i="5" s="1"/>
  <c r="BD138" i="5"/>
  <c r="BM138" i="5"/>
  <c r="AZ118" i="5"/>
  <c r="BR122" i="5"/>
  <c r="CN122" i="5" s="1"/>
  <c r="DH122" i="5"/>
  <c r="AP133" i="5"/>
  <c r="AP135" i="5" s="1"/>
  <c r="AF137" i="5"/>
  <c r="AF144" i="5" s="1"/>
  <c r="AF146" i="5" s="1"/>
  <c r="CA144" i="5"/>
  <c r="CA146" i="5" s="1"/>
  <c r="BI138" i="5"/>
  <c r="BF20" i="5"/>
  <c r="K20" i="5"/>
  <c r="BA93" i="5"/>
  <c r="AX71" i="5"/>
  <c r="CO76" i="5"/>
  <c r="BH141" i="5"/>
  <c r="BP139" i="5"/>
  <c r="BB9" i="5"/>
  <c r="AG20" i="5"/>
  <c r="G7" i="5"/>
  <c r="BR7" i="5" s="1"/>
  <c r="CN7" i="5" s="1"/>
  <c r="AE20" i="5"/>
  <c r="BG139" i="5"/>
  <c r="AX12" i="5"/>
  <c r="CU20" i="5"/>
  <c r="CB135" i="5"/>
  <c r="CB147" i="5" s="1"/>
  <c r="CO23" i="5"/>
  <c r="AX38" i="5"/>
  <c r="BS56" i="5"/>
  <c r="BR56" i="5" s="1"/>
  <c r="CN56" i="5" s="1"/>
  <c r="CY145" i="5"/>
  <c r="BK113" i="5"/>
  <c r="CS137" i="5"/>
  <c r="CY115" i="5"/>
  <c r="CM137" i="5"/>
  <c r="CU138" i="5"/>
  <c r="DD138" i="5"/>
  <c r="AX128" i="5"/>
  <c r="CB144" i="5"/>
  <c r="CB146" i="5" s="1"/>
  <c r="CG143" i="5"/>
  <c r="BJ20" i="5"/>
  <c r="AA53" i="5"/>
  <c r="AW53" i="5" s="1"/>
  <c r="CF141" i="5"/>
  <c r="CF20" i="5"/>
  <c r="DA15" i="5"/>
  <c r="CO15" i="5" s="1"/>
  <c r="BS15" i="5"/>
  <c r="AX21" i="5"/>
  <c r="BH140" i="5"/>
  <c r="BH60" i="5"/>
  <c r="BV140" i="5"/>
  <c r="CQ21" i="5"/>
  <c r="BV60" i="5"/>
  <c r="CW140" i="5"/>
  <c r="CW60" i="5"/>
  <c r="BR53" i="5"/>
  <c r="CN53" i="5" s="1"/>
  <c r="BR57" i="5"/>
  <c r="CN57" i="5" s="1"/>
  <c r="AH142" i="5"/>
  <c r="AH93" i="5"/>
  <c r="BC61" i="5"/>
  <c r="AX61" i="5" s="1"/>
  <c r="AA79" i="5"/>
  <c r="AW79" i="5" s="1"/>
  <c r="AQ145" i="5"/>
  <c r="AQ113" i="5"/>
  <c r="AB100" i="5"/>
  <c r="BL100" i="5"/>
  <c r="BA141" i="5"/>
  <c r="BI141" i="5"/>
  <c r="Z141" i="5"/>
  <c r="Z20" i="5"/>
  <c r="BQ5" i="5"/>
  <c r="AX5" i="5" s="1"/>
  <c r="G5" i="5"/>
  <c r="AA5" i="5" s="1"/>
  <c r="AW5" i="5" s="1"/>
  <c r="BB5" i="5"/>
  <c r="CM5" i="5"/>
  <c r="BS5" i="5" s="1"/>
  <c r="BQ7" i="5"/>
  <c r="DH7" i="5"/>
  <c r="G9" i="5"/>
  <c r="BQ13" i="5"/>
  <c r="BA60" i="5"/>
  <c r="BA140" i="5"/>
  <c r="CX140" i="5"/>
  <c r="CX60" i="5"/>
  <c r="AV140" i="5"/>
  <c r="AV60" i="5"/>
  <c r="BQ23" i="5"/>
  <c r="CV60" i="5"/>
  <c r="CO26" i="5"/>
  <c r="AX27" i="5"/>
  <c r="AX28" i="5"/>
  <c r="CO28" i="5"/>
  <c r="CO34" i="5"/>
  <c r="DH40" i="5"/>
  <c r="G40" i="5"/>
  <c r="BQ40" i="5"/>
  <c r="AX40" i="5" s="1"/>
  <c r="BR44" i="5"/>
  <c r="CN44" i="5" s="1"/>
  <c r="AA48" i="5"/>
  <c r="AW48" i="5" s="1"/>
  <c r="AA55" i="5"/>
  <c r="AW55" i="5" s="1"/>
  <c r="BR55" i="5"/>
  <c r="CN55" i="5" s="1"/>
  <c r="BF93" i="5"/>
  <c r="CO90" i="5"/>
  <c r="BR92" i="5"/>
  <c r="CN92" i="5" s="1"/>
  <c r="CM93" i="5"/>
  <c r="DF20" i="5"/>
  <c r="AA7" i="5"/>
  <c r="AW7" i="5" s="1"/>
  <c r="BB14" i="5"/>
  <c r="AX14" i="5" s="1"/>
  <c r="AB14" i="5"/>
  <c r="AB18" i="5"/>
  <c r="G19" i="5"/>
  <c r="BB60" i="5"/>
  <c r="CP140" i="5"/>
  <c r="CP60" i="5"/>
  <c r="AZ24" i="5"/>
  <c r="AX24" i="5" s="1"/>
  <c r="CO29" i="5"/>
  <c r="CO31" i="5"/>
  <c r="BR33" i="5"/>
  <c r="CN33" i="5" s="1"/>
  <c r="AA34" i="5"/>
  <c r="AW34" i="5" s="1"/>
  <c r="BL37" i="5"/>
  <c r="AX37" i="5" s="1"/>
  <c r="DC37" i="5"/>
  <c r="CO37" i="5" s="1"/>
  <c r="BL44" i="5"/>
  <c r="DC47" i="5"/>
  <c r="CO49" i="5"/>
  <c r="CO50" i="5"/>
  <c r="BR78" i="5"/>
  <c r="CN78" i="5" s="1"/>
  <c r="BE133" i="5"/>
  <c r="BE137" i="5"/>
  <c r="AA6" i="5"/>
  <c r="AW6" i="5" s="1"/>
  <c r="BB7" i="5"/>
  <c r="AX7" i="5" s="1"/>
  <c r="AG139" i="5"/>
  <c r="BB8" i="5"/>
  <c r="AB8" i="5"/>
  <c r="Z139" i="5"/>
  <c r="DH9" i="5"/>
  <c r="BQ9" i="5"/>
  <c r="BQ19" i="5"/>
  <c r="DH19" i="5"/>
  <c r="CO19" i="5" s="1"/>
  <c r="DC34" i="5"/>
  <c r="BS34" i="5"/>
  <c r="AG141" i="5"/>
  <c r="CS7" i="5"/>
  <c r="CO7" i="5" s="1"/>
  <c r="DH16" i="5"/>
  <c r="CO16" i="5" s="1"/>
  <c r="G16" i="5"/>
  <c r="BQ16" i="5"/>
  <c r="AX16" i="5" s="1"/>
  <c r="AA22" i="5"/>
  <c r="AW22" i="5" s="1"/>
  <c r="BJ60" i="5"/>
  <c r="AA36" i="5"/>
  <c r="AW36" i="5" s="1"/>
  <c r="CO43" i="5"/>
  <c r="BR47" i="5"/>
  <c r="CN47" i="5" s="1"/>
  <c r="CQ52" i="5"/>
  <c r="CH52" i="5"/>
  <c r="DC52" i="5" s="1"/>
  <c r="L140" i="5"/>
  <c r="L144" i="5" s="1"/>
  <c r="L146" i="5" s="1"/>
  <c r="L60" i="5"/>
  <c r="L135" i="5" s="1"/>
  <c r="CT58" i="5"/>
  <c r="G58" i="5"/>
  <c r="BC58" i="5"/>
  <c r="AX58" i="5" s="1"/>
  <c r="DD97" i="5"/>
  <c r="CO97" i="5" s="1"/>
  <c r="CM145" i="5"/>
  <c r="BS98" i="5"/>
  <c r="CM113" i="5"/>
  <c r="BM20" i="5"/>
  <c r="CR141" i="5"/>
  <c r="CR20" i="5"/>
  <c r="CZ141" i="5"/>
  <c r="CZ20" i="5"/>
  <c r="I139" i="5"/>
  <c r="AZ8" i="5"/>
  <c r="AZ139" i="5" s="1"/>
  <c r="AO141" i="5"/>
  <c r="BJ15" i="5"/>
  <c r="AX15" i="5" s="1"/>
  <c r="AB15" i="5"/>
  <c r="BS18" i="5"/>
  <c r="CS18" i="5"/>
  <c r="CO18" i="5" s="1"/>
  <c r="AA21" i="5"/>
  <c r="AW21" i="5" s="1"/>
  <c r="BM60" i="5"/>
  <c r="BR36" i="5"/>
  <c r="CN36" i="5" s="1"/>
  <c r="AA42" i="5"/>
  <c r="AW42" i="5" s="1"/>
  <c r="DC45" i="5"/>
  <c r="CO45" i="5" s="1"/>
  <c r="CO47" i="5"/>
  <c r="CO51" i="5"/>
  <c r="CO55" i="5"/>
  <c r="BQ63" i="5"/>
  <c r="AX63" i="5" s="1"/>
  <c r="CE142" i="5"/>
  <c r="CE144" i="5" s="1"/>
  <c r="CE146" i="5" s="1"/>
  <c r="CE93" i="5"/>
  <c r="BS66" i="5"/>
  <c r="BS80" i="5"/>
  <c r="AA112" i="5"/>
  <c r="AW112" i="5" s="1"/>
  <c r="BS130" i="5"/>
  <c r="CS130" i="5"/>
  <c r="CO130" i="5" s="1"/>
  <c r="BX133" i="5"/>
  <c r="CP141" i="5"/>
  <c r="CP20" i="5"/>
  <c r="DG141" i="5"/>
  <c r="DG20" i="5"/>
  <c r="AA41" i="5"/>
  <c r="AW41" i="5" s="1"/>
  <c r="BL46" i="5"/>
  <c r="AX46" i="5" s="1"/>
  <c r="BR49" i="5"/>
  <c r="CN49" i="5" s="1"/>
  <c r="BL52" i="5"/>
  <c r="AB52" i="5"/>
  <c r="AE60" i="5"/>
  <c r="DF60" i="5"/>
  <c r="AA65" i="5"/>
  <c r="AW65" i="5" s="1"/>
  <c r="CS5" i="5"/>
  <c r="BT135" i="5"/>
  <c r="AA26" i="5"/>
  <c r="AW26" i="5" s="1"/>
  <c r="BH20" i="5"/>
  <c r="CU140" i="5"/>
  <c r="CU60" i="5"/>
  <c r="BF60" i="5"/>
  <c r="BS26" i="5"/>
  <c r="CO32" i="5"/>
  <c r="CO36" i="5"/>
  <c r="BR43" i="5"/>
  <c r="CN43" i="5" s="1"/>
  <c r="AX48" i="5"/>
  <c r="BX142" i="5"/>
  <c r="BS65" i="5"/>
  <c r="CS65" i="5"/>
  <c r="BX93" i="5"/>
  <c r="BD93" i="5"/>
  <c r="AX76" i="5"/>
  <c r="CS77" i="5"/>
  <c r="CO77" i="5" s="1"/>
  <c r="G77" i="5"/>
  <c r="BB77" i="5"/>
  <c r="AX77" i="5" s="1"/>
  <c r="BK20" i="5"/>
  <c r="CX141" i="5"/>
  <c r="CX20" i="5"/>
  <c r="BK140" i="5"/>
  <c r="BK60" i="5"/>
  <c r="DE140" i="5"/>
  <c r="DE144" i="5" s="1"/>
  <c r="DE146" i="5" s="1"/>
  <c r="DE60" i="5"/>
  <c r="DE135" i="5" s="1"/>
  <c r="AA46" i="5"/>
  <c r="AW46" i="5" s="1"/>
  <c r="AA63" i="5"/>
  <c r="AW63" i="5" s="1"/>
  <c r="AV145" i="5"/>
  <c r="AV113" i="5"/>
  <c r="AB98" i="5"/>
  <c r="CY141" i="5"/>
  <c r="CY20" i="5"/>
  <c r="BS17" i="5"/>
  <c r="CS17" i="5"/>
  <c r="CO17" i="5" s="1"/>
  <c r="U140" i="5"/>
  <c r="G28" i="5"/>
  <c r="DC28" i="5"/>
  <c r="U60" i="5"/>
  <c r="BL29" i="5"/>
  <c r="AX29" i="5" s="1"/>
  <c r="BQ36" i="5"/>
  <c r="AX36" i="5" s="1"/>
  <c r="CO42" i="5"/>
  <c r="AX4" i="5"/>
  <c r="BF141" i="5"/>
  <c r="BO141" i="5"/>
  <c r="BO20" i="5"/>
  <c r="DA141" i="5"/>
  <c r="DA20" i="5"/>
  <c r="AY141" i="5"/>
  <c r="AY20" i="5"/>
  <c r="BG141" i="5"/>
  <c r="BG20" i="5"/>
  <c r="BP141" i="5"/>
  <c r="BP20" i="5"/>
  <c r="BB6" i="5"/>
  <c r="AX6" i="5" s="1"/>
  <c r="BE139" i="5"/>
  <c r="BM139" i="5"/>
  <c r="BN139" i="5"/>
  <c r="CP139" i="5"/>
  <c r="CO11" i="5"/>
  <c r="DH13" i="5"/>
  <c r="CO14" i="5"/>
  <c r="AA17" i="5"/>
  <c r="AW17" i="5" s="1"/>
  <c r="BI20" i="5"/>
  <c r="BG60" i="5"/>
  <c r="BS21" i="5"/>
  <c r="AX22" i="5"/>
  <c r="AB25" i="5"/>
  <c r="AA25" i="5" s="1"/>
  <c r="AW25" i="5" s="1"/>
  <c r="AZ25" i="5"/>
  <c r="AX25" i="5" s="1"/>
  <c r="BR27" i="5"/>
  <c r="CN27" i="5" s="1"/>
  <c r="DC27" i="5"/>
  <c r="CO27" i="5" s="1"/>
  <c r="BQ53" i="5"/>
  <c r="AX53" i="5" s="1"/>
  <c r="DH53" i="5"/>
  <c r="CO53" i="5" s="1"/>
  <c r="CO57" i="5"/>
  <c r="AB61" i="5"/>
  <c r="AX65" i="5"/>
  <c r="DA65" i="5"/>
  <c r="CF93" i="5"/>
  <c r="AA75" i="5"/>
  <c r="AW75" i="5" s="1"/>
  <c r="AA85" i="5"/>
  <c r="AW85" i="5" s="1"/>
  <c r="AB86" i="5"/>
  <c r="BB86" i="5"/>
  <c r="AX86" i="5" s="1"/>
  <c r="AX92" i="5"/>
  <c r="CO44" i="5"/>
  <c r="CU142" i="5"/>
  <c r="CU93" i="5"/>
  <c r="DH68" i="5"/>
  <c r="CO68" i="5" s="1"/>
  <c r="BQ68" i="5"/>
  <c r="AX68" i="5" s="1"/>
  <c r="BR82" i="5"/>
  <c r="CN82" i="5" s="1"/>
  <c r="AX88" i="5"/>
  <c r="AA89" i="5"/>
  <c r="AW89" i="5" s="1"/>
  <c r="BR107" i="5"/>
  <c r="CN107" i="5" s="1"/>
  <c r="CP137" i="5"/>
  <c r="CP133" i="5"/>
  <c r="CC133" i="5"/>
  <c r="CC135" i="5" s="1"/>
  <c r="CC147" i="5" s="1"/>
  <c r="CC137" i="5"/>
  <c r="CC144" i="5" s="1"/>
  <c r="CC146" i="5" s="1"/>
  <c r="CX115" i="5"/>
  <c r="CX137" i="5" s="1"/>
  <c r="BJ141" i="5"/>
  <c r="DB141" i="5"/>
  <c r="AV141" i="5"/>
  <c r="BR6" i="5"/>
  <c r="CN6" i="5" s="1"/>
  <c r="CS6" i="5"/>
  <c r="CO6" i="5" s="1"/>
  <c r="K139" i="5"/>
  <c r="BH139" i="5"/>
  <c r="CR139" i="5"/>
  <c r="CZ139" i="5"/>
  <c r="BV9" i="5"/>
  <c r="BS9" i="5" s="1"/>
  <c r="AB12" i="5"/>
  <c r="AB13" i="5"/>
  <c r="BX13" i="5"/>
  <c r="AE140" i="5"/>
  <c r="BD140" i="5"/>
  <c r="CY140" i="5"/>
  <c r="G29" i="5"/>
  <c r="BR29" i="5" s="1"/>
  <c r="CN29" i="5" s="1"/>
  <c r="Z140" i="5"/>
  <c r="DH32" i="5"/>
  <c r="Z60" i="5"/>
  <c r="AA33" i="5"/>
  <c r="AW33" i="5" s="1"/>
  <c r="AX35" i="5"/>
  <c r="AA39" i="5"/>
  <c r="AW39" i="5" s="1"/>
  <c r="AX44" i="5"/>
  <c r="AX50" i="5"/>
  <c r="BR50" i="5"/>
  <c r="CN50" i="5" s="1"/>
  <c r="AZ52" i="5"/>
  <c r="G52" i="5"/>
  <c r="AH140" i="5"/>
  <c r="AH60" i="5"/>
  <c r="CO59" i="5"/>
  <c r="AZ142" i="5"/>
  <c r="AZ93" i="5"/>
  <c r="BH142" i="5"/>
  <c r="BH93" i="5"/>
  <c r="CV142" i="5"/>
  <c r="CV93" i="5"/>
  <c r="DD142" i="5"/>
  <c r="BL93" i="5"/>
  <c r="CO67" i="5"/>
  <c r="CO69" i="5"/>
  <c r="G76" i="5"/>
  <c r="AB78" i="5"/>
  <c r="CO81" i="5"/>
  <c r="CO84" i="5"/>
  <c r="BS85" i="5"/>
  <c r="BR87" i="5"/>
  <c r="CN87" i="5" s="1"/>
  <c r="DD93" i="5"/>
  <c r="AA95" i="5"/>
  <c r="AW95" i="5" s="1"/>
  <c r="CS145" i="5"/>
  <c r="CS113" i="5"/>
  <c r="DA145" i="5"/>
  <c r="DA113" i="5"/>
  <c r="BU145" i="5"/>
  <c r="CP106" i="5"/>
  <c r="CO106" i="5" s="1"/>
  <c r="BS106" i="5"/>
  <c r="BU113" i="5"/>
  <c r="BU135" i="5" s="1"/>
  <c r="CQ137" i="5"/>
  <c r="CE60" i="5"/>
  <c r="CE135" i="5" s="1"/>
  <c r="DC142" i="5"/>
  <c r="DC93" i="5"/>
  <c r="BB66" i="5"/>
  <c r="AX66" i="5" s="1"/>
  <c r="G66" i="5"/>
  <c r="CS66" i="5"/>
  <c r="CO66" i="5" s="1"/>
  <c r="BK141" i="5"/>
  <c r="CU141" i="5"/>
  <c r="BC13" i="5"/>
  <c r="CT13" i="5"/>
  <c r="CT20" i="5" s="1"/>
  <c r="BE140" i="5"/>
  <c r="CR140" i="5"/>
  <c r="CR60" i="5"/>
  <c r="AA32" i="5"/>
  <c r="AW32" i="5" s="1"/>
  <c r="BR37" i="5"/>
  <c r="CN37" i="5" s="1"/>
  <c r="CO39" i="5"/>
  <c r="BR48" i="5"/>
  <c r="CN48" i="5" s="1"/>
  <c r="DC48" i="5"/>
  <c r="CO48" i="5" s="1"/>
  <c r="AA49" i="5"/>
  <c r="AW49" i="5" s="1"/>
  <c r="AA54" i="5"/>
  <c r="AW54" i="5" s="1"/>
  <c r="CO54" i="5"/>
  <c r="DC56" i="5"/>
  <c r="CO56" i="5" s="1"/>
  <c r="AU60" i="5"/>
  <c r="AU135" i="5" s="1"/>
  <c r="BA142" i="5"/>
  <c r="BI142" i="5"/>
  <c r="BI93" i="5"/>
  <c r="CM142" i="5"/>
  <c r="CW142" i="5"/>
  <c r="CW93" i="5"/>
  <c r="DF142" i="5"/>
  <c r="DF93" i="5"/>
  <c r="AX64" i="5"/>
  <c r="AG142" i="5"/>
  <c r="BR71" i="5"/>
  <c r="CN71" i="5" s="1"/>
  <c r="BB73" i="5"/>
  <c r="AX73" i="5" s="1"/>
  <c r="G73" i="5"/>
  <c r="AX90" i="5"/>
  <c r="BR90" i="5"/>
  <c r="CN90" i="5" s="1"/>
  <c r="AO93" i="5"/>
  <c r="BE145" i="5"/>
  <c r="BE113" i="5"/>
  <c r="CO102" i="5"/>
  <c r="BR108" i="5"/>
  <c r="CN108" i="5" s="1"/>
  <c r="BK137" i="5"/>
  <c r="AA120" i="5"/>
  <c r="AW120" i="5" s="1"/>
  <c r="AP144" i="5"/>
  <c r="AP146" i="5" s="1"/>
  <c r="CM140" i="5"/>
  <c r="BL141" i="5"/>
  <c r="DD141" i="5"/>
  <c r="BJ139" i="5"/>
  <c r="CG20" i="5"/>
  <c r="CG135" i="5" s="1"/>
  <c r="BF140" i="5"/>
  <c r="CS140" i="5"/>
  <c r="CS60" i="5"/>
  <c r="AQ140" i="5"/>
  <c r="AQ144" i="5" s="1"/>
  <c r="AQ60" i="5"/>
  <c r="BL26" i="5"/>
  <c r="AX26" i="5" s="1"/>
  <c r="AS140" i="5"/>
  <c r="AS60" i="5"/>
  <c r="AS135" i="5" s="1"/>
  <c r="BN34" i="5"/>
  <c r="BL45" i="5"/>
  <c r="AX45" i="5" s="1"/>
  <c r="G45" i="5"/>
  <c r="AA56" i="5"/>
  <c r="AW56" i="5" s="1"/>
  <c r="Z142" i="5"/>
  <c r="Z93" i="5"/>
  <c r="DH61" i="5"/>
  <c r="BQ61" i="5"/>
  <c r="G61" i="5"/>
  <c r="DH62" i="5"/>
  <c r="CO62" i="5" s="1"/>
  <c r="CF142" i="5"/>
  <c r="BS64" i="5"/>
  <c r="DA64" i="5"/>
  <c r="CO64" i="5" s="1"/>
  <c r="BR68" i="5"/>
  <c r="CN68" i="5" s="1"/>
  <c r="CO83" i="5"/>
  <c r="CO89" i="5"/>
  <c r="BF145" i="5"/>
  <c r="BF113" i="5"/>
  <c r="CU145" i="5"/>
  <c r="CU113" i="5"/>
  <c r="BD145" i="5"/>
  <c r="AA99" i="5"/>
  <c r="AW99" i="5" s="1"/>
  <c r="CW137" i="5"/>
  <c r="CW133" i="5"/>
  <c r="BC137" i="5"/>
  <c r="BC133" i="5"/>
  <c r="BL137" i="5"/>
  <c r="DH33" i="5"/>
  <c r="CO33" i="5" s="1"/>
  <c r="BX141" i="5"/>
  <c r="BX20" i="5"/>
  <c r="DC141" i="5"/>
  <c r="BA139" i="5"/>
  <c r="BI139" i="5"/>
  <c r="DA139" i="5"/>
  <c r="BD141" i="5"/>
  <c r="CV141" i="5"/>
  <c r="I141" i="5"/>
  <c r="I20" i="5"/>
  <c r="CT139" i="5"/>
  <c r="DB139" i="5"/>
  <c r="BE141" i="5"/>
  <c r="BM140" i="5"/>
  <c r="CW141" i="5"/>
  <c r="CW20" i="5"/>
  <c r="CW135" i="5" s="1"/>
  <c r="DF141" i="5"/>
  <c r="K141" i="5"/>
  <c r="CQ5" i="5"/>
  <c r="AE139" i="5"/>
  <c r="BC139" i="5"/>
  <c r="BK139" i="5"/>
  <c r="BX139" i="5"/>
  <c r="CU139" i="5"/>
  <c r="DC139" i="5"/>
  <c r="AV20" i="5"/>
  <c r="BE20" i="5"/>
  <c r="BE135" i="5" s="1"/>
  <c r="BY20" i="5"/>
  <c r="AY140" i="5"/>
  <c r="AY60" i="5"/>
  <c r="BG140" i="5"/>
  <c r="CT140" i="5"/>
  <c r="CT60" i="5"/>
  <c r="DB140" i="5"/>
  <c r="DB60" i="5"/>
  <c r="AZ23" i="5"/>
  <c r="BQ33" i="5"/>
  <c r="AX33" i="5" s="1"/>
  <c r="Y140" i="5"/>
  <c r="Y60" i="5"/>
  <c r="Y135" i="5" s="1"/>
  <c r="Y147" i="5" s="1"/>
  <c r="DA41" i="5"/>
  <c r="CO41" i="5" s="1"/>
  <c r="BS41" i="5"/>
  <c r="AA59" i="5"/>
  <c r="AW59" i="5" s="1"/>
  <c r="CY60" i="5"/>
  <c r="BK142" i="5"/>
  <c r="BK93" i="5"/>
  <c r="BQ62" i="5"/>
  <c r="AX62" i="5" s="1"/>
  <c r="G62" i="5"/>
  <c r="CO63" i="5"/>
  <c r="AB83" i="5"/>
  <c r="BB83" i="5"/>
  <c r="AX83" i="5" s="1"/>
  <c r="CO86" i="5"/>
  <c r="AG93" i="5"/>
  <c r="BG145" i="5"/>
  <c r="BG113" i="5"/>
  <c r="AX100" i="5"/>
  <c r="DD101" i="5"/>
  <c r="BM101" i="5"/>
  <c r="AX101" i="5" s="1"/>
  <c r="G101" i="5"/>
  <c r="AA101" i="5" s="1"/>
  <c r="AW101" i="5" s="1"/>
  <c r="CO109" i="5"/>
  <c r="BD133" i="5"/>
  <c r="BM142" i="5"/>
  <c r="BM133" i="5"/>
  <c r="BM137" i="5"/>
  <c r="CF140" i="5"/>
  <c r="AV142" i="5"/>
  <c r="AV93" i="5"/>
  <c r="BD142" i="5"/>
  <c r="BL142" i="5"/>
  <c r="CX142" i="5"/>
  <c r="DG142" i="5"/>
  <c r="BS63" i="5"/>
  <c r="AN142" i="5"/>
  <c r="AN144" i="5" s="1"/>
  <c r="AN146" i="5" s="1"/>
  <c r="AB66" i="5"/>
  <c r="AN93" i="5"/>
  <c r="AA73" i="5"/>
  <c r="AW73" i="5" s="1"/>
  <c r="CO78" i="5"/>
  <c r="AX81" i="5"/>
  <c r="CO82" i="5"/>
  <c r="AA87" i="5"/>
  <c r="AW87" i="5" s="1"/>
  <c r="BJ91" i="5"/>
  <c r="AX91" i="5" s="1"/>
  <c r="DH92" i="5"/>
  <c r="CO92" i="5" s="1"/>
  <c r="CI145" i="5"/>
  <c r="CI113" i="5"/>
  <c r="CI135" i="5" s="1"/>
  <c r="BS95" i="5"/>
  <c r="DD95" i="5"/>
  <c r="G97" i="5"/>
  <c r="BR97" i="5" s="1"/>
  <c r="CN97" i="5" s="1"/>
  <c r="BD113" i="5"/>
  <c r="CO123" i="5"/>
  <c r="BQ59" i="5"/>
  <c r="AX59" i="5" s="1"/>
  <c r="CJ60" i="5"/>
  <c r="CJ135" i="5" s="1"/>
  <c r="CJ147" i="5" s="1"/>
  <c r="BE142" i="5"/>
  <c r="BE93" i="5"/>
  <c r="BM141" i="5"/>
  <c r="CP142" i="5"/>
  <c r="CP93" i="5"/>
  <c r="BO142" i="5"/>
  <c r="G67" i="5"/>
  <c r="BR67" i="5" s="1"/>
  <c r="CN67" i="5" s="1"/>
  <c r="BQ67" i="5"/>
  <c r="AX67" i="5" s="1"/>
  <c r="DH70" i="5"/>
  <c r="CO70" i="5" s="1"/>
  <c r="BQ70" i="5"/>
  <c r="G70" i="5"/>
  <c r="BR75" i="5"/>
  <c r="CN75" i="5" s="1"/>
  <c r="CO85" i="5"/>
  <c r="AX87" i="5"/>
  <c r="AA90" i="5"/>
  <c r="AW90" i="5" s="1"/>
  <c r="CX113" i="5"/>
  <c r="AX99" i="5"/>
  <c r="CO107" i="5"/>
  <c r="AA115" i="5"/>
  <c r="AW115" i="5" s="1"/>
  <c r="CQ117" i="5"/>
  <c r="AZ117" i="5"/>
  <c r="I138" i="5"/>
  <c r="G117" i="5"/>
  <c r="BR117" i="5" s="1"/>
  <c r="CN117" i="5" s="1"/>
  <c r="I140" i="5"/>
  <c r="BO140" i="5"/>
  <c r="AO140" i="5"/>
  <c r="I60" i="5"/>
  <c r="BF142" i="5"/>
  <c r="BP142" i="5"/>
  <c r="BP93" i="5"/>
  <c r="BJ70" i="5"/>
  <c r="AX70" i="5" s="1"/>
  <c r="AB70" i="5"/>
  <c r="AA80" i="5"/>
  <c r="AW80" i="5" s="1"/>
  <c r="CO88" i="5"/>
  <c r="BR89" i="5"/>
  <c r="CN89" i="5" s="1"/>
  <c r="BM93" i="5"/>
  <c r="CX93" i="5"/>
  <c r="CQ145" i="5"/>
  <c r="CQ113" i="5"/>
  <c r="CY113" i="5"/>
  <c r="BR96" i="5"/>
  <c r="CN96" i="5" s="1"/>
  <c r="Z145" i="5"/>
  <c r="BQ98" i="5"/>
  <c r="Z113" i="5"/>
  <c r="DH98" i="5"/>
  <c r="CH145" i="5"/>
  <c r="BS100" i="5"/>
  <c r="AG145" i="5"/>
  <c r="BB106" i="5"/>
  <c r="BB113" i="5" s="1"/>
  <c r="AB106" i="5"/>
  <c r="AG113" i="5"/>
  <c r="CT113" i="5"/>
  <c r="J137" i="5"/>
  <c r="J144" i="5" s="1"/>
  <c r="J146" i="5" s="1"/>
  <c r="BA114" i="5"/>
  <c r="CR114" i="5"/>
  <c r="J133" i="5"/>
  <c r="J135" i="5" s="1"/>
  <c r="J147" i="5" s="1"/>
  <c r="AV133" i="5"/>
  <c r="AV137" i="5"/>
  <c r="BQ114" i="5"/>
  <c r="BP133" i="5"/>
  <c r="Q135" i="5"/>
  <c r="AI135" i="5"/>
  <c r="AI147" i="5" s="1"/>
  <c r="BB140" i="5"/>
  <c r="BJ140" i="5"/>
  <c r="CV140" i="5"/>
  <c r="DD140" i="5"/>
  <c r="AU140" i="5"/>
  <c r="AU144" i="5" s="1"/>
  <c r="AU146" i="5" s="1"/>
  <c r="BI43" i="5"/>
  <c r="BI140" i="5" s="1"/>
  <c r="CL60" i="5"/>
  <c r="CL135" i="5" s="1"/>
  <c r="CL147" i="5" s="1"/>
  <c r="DD60" i="5"/>
  <c r="CR142" i="5"/>
  <c r="CR93" i="5"/>
  <c r="DA93" i="5"/>
  <c r="DH67" i="5"/>
  <c r="CO72" i="5"/>
  <c r="BR73" i="5"/>
  <c r="CN73" i="5" s="1"/>
  <c r="BS79" i="5"/>
  <c r="CS79" i="5"/>
  <c r="CO79" i="5" s="1"/>
  <c r="AA88" i="5"/>
  <c r="AW88" i="5" s="1"/>
  <c r="CR145" i="5"/>
  <c r="CR113" i="5"/>
  <c r="CZ145" i="5"/>
  <c r="BR111" i="5"/>
  <c r="CN111" i="5" s="1"/>
  <c r="CZ137" i="5"/>
  <c r="CZ133" i="5"/>
  <c r="AL137" i="5"/>
  <c r="AL144" i="5" s="1"/>
  <c r="AL146" i="5" s="1"/>
  <c r="AL133" i="5"/>
  <c r="AL135" i="5" s="1"/>
  <c r="AT143" i="5"/>
  <c r="AB143" i="5" s="1"/>
  <c r="AT133" i="5"/>
  <c r="AT135" i="5" s="1"/>
  <c r="BO126" i="5"/>
  <c r="BY60" i="5"/>
  <c r="AY142" i="5"/>
  <c r="BG142" i="5"/>
  <c r="CQ142" i="5"/>
  <c r="CY142" i="5"/>
  <c r="CZ66" i="5"/>
  <c r="CZ142" i="5" s="1"/>
  <c r="BH145" i="5"/>
  <c r="BH113" i="5"/>
  <c r="CO101" i="5"/>
  <c r="CO108" i="5"/>
  <c r="G114" i="5"/>
  <c r="AA114" i="5" s="1"/>
  <c r="AW114" i="5" s="1"/>
  <c r="I137" i="5"/>
  <c r="I133" i="5"/>
  <c r="AZ114" i="5"/>
  <c r="AE137" i="5"/>
  <c r="AE133" i="5"/>
  <c r="AE135" i="5" s="1"/>
  <c r="BF114" i="5"/>
  <c r="BP137" i="5"/>
  <c r="DB133" i="5"/>
  <c r="DB137" i="5"/>
  <c r="AY138" i="5"/>
  <c r="BB127" i="5"/>
  <c r="G127" i="5"/>
  <c r="AO142" i="5"/>
  <c r="K142" i="5"/>
  <c r="BQ75" i="5"/>
  <c r="AX75" i="5" s="1"/>
  <c r="BB79" i="5"/>
  <c r="AX79" i="5" s="1"/>
  <c r="AB82" i="5"/>
  <c r="BB89" i="5"/>
  <c r="AX89" i="5" s="1"/>
  <c r="CS90" i="5"/>
  <c r="AA92" i="5"/>
  <c r="AW92" i="5" s="1"/>
  <c r="BG93" i="5"/>
  <c r="BY93" i="5"/>
  <c r="CY93" i="5"/>
  <c r="BB145" i="5"/>
  <c r="BJ145" i="5"/>
  <c r="BJ113" i="5"/>
  <c r="CV145" i="5"/>
  <c r="CV113" i="5"/>
  <c r="BR99" i="5"/>
  <c r="CN99" i="5" s="1"/>
  <c r="G103" i="5"/>
  <c r="BR103" i="5" s="1"/>
  <c r="CN103" i="5" s="1"/>
  <c r="BM103" i="5"/>
  <c r="AX103" i="5" s="1"/>
  <c r="DD103" i="5"/>
  <c r="CO103" i="5" s="1"/>
  <c r="BR110" i="5"/>
  <c r="CN110" i="5" s="1"/>
  <c r="BR112" i="5"/>
  <c r="CN112" i="5" s="1"/>
  <c r="M133" i="5"/>
  <c r="M135" i="5" s="1"/>
  <c r="M147" i="5" s="1"/>
  <c r="CU114" i="5"/>
  <c r="M137" i="5"/>
  <c r="M144" i="5" s="1"/>
  <c r="M146" i="5" s="1"/>
  <c r="DD133" i="5"/>
  <c r="AF133" i="5"/>
  <c r="AF135" i="5" s="1"/>
  <c r="AF147" i="5" s="1"/>
  <c r="BA116" i="5"/>
  <c r="CY117" i="5"/>
  <c r="CY138" i="5" s="1"/>
  <c r="BH117" i="5"/>
  <c r="BH138" i="5" s="1"/>
  <c r="Q138" i="5"/>
  <c r="Q144" i="5" s="1"/>
  <c r="Q146" i="5" s="1"/>
  <c r="BB138" i="5"/>
  <c r="CP138" i="5"/>
  <c r="BR119" i="5"/>
  <c r="CN119" i="5" s="1"/>
  <c r="BR123" i="5"/>
  <c r="CN123" i="5" s="1"/>
  <c r="AA128" i="5"/>
  <c r="AW128" i="5" s="1"/>
  <c r="CT61" i="5"/>
  <c r="DB142" i="5"/>
  <c r="S142" i="5"/>
  <c r="S144" i="5" s="1"/>
  <c r="S146" i="5" s="1"/>
  <c r="G84" i="5"/>
  <c r="R93" i="5"/>
  <c r="AY93" i="5"/>
  <c r="CQ93" i="5"/>
  <c r="BC145" i="5"/>
  <c r="BC113" i="5"/>
  <c r="BK145" i="5"/>
  <c r="CW145" i="5"/>
  <c r="DF145" i="5"/>
  <c r="DF113" i="5"/>
  <c r="AD145" i="5"/>
  <c r="AY106" i="5"/>
  <c r="AA110" i="5"/>
  <c r="AW110" i="5" s="1"/>
  <c r="AY137" i="5"/>
  <c r="AY133" i="5"/>
  <c r="DF137" i="5"/>
  <c r="BH115" i="5"/>
  <c r="BS115" i="5"/>
  <c r="DH115" i="5"/>
  <c r="AM137" i="5"/>
  <c r="AM144" i="5" s="1"/>
  <c r="AM146" i="5" s="1"/>
  <c r="BH116" i="5"/>
  <c r="AX116" i="5" s="1"/>
  <c r="BS116" i="5"/>
  <c r="CR116" i="5"/>
  <c r="DH117" i="5"/>
  <c r="BQ117" i="5"/>
  <c r="Z138" i="5"/>
  <c r="BQ123" i="5"/>
  <c r="AX123" i="5" s="1"/>
  <c r="DH123" i="5"/>
  <c r="T143" i="5"/>
  <c r="T144" i="5" s="1"/>
  <c r="T146" i="5" s="1"/>
  <c r="DB126" i="5"/>
  <c r="BK126" i="5"/>
  <c r="BK133" i="5" s="1"/>
  <c r="G126" i="5"/>
  <c r="BR126" i="5" s="1"/>
  <c r="CN126" i="5" s="1"/>
  <c r="T133" i="5"/>
  <c r="T135" i="5" s="1"/>
  <c r="BJ84" i="5"/>
  <c r="AX84" i="5" s="1"/>
  <c r="K93" i="5"/>
  <c r="K135" i="5" s="1"/>
  <c r="DB93" i="5"/>
  <c r="AR145" i="5"/>
  <c r="AR146" i="5" s="1"/>
  <c r="AR113" i="5"/>
  <c r="AR135" i="5" s="1"/>
  <c r="CX145" i="5"/>
  <c r="DG145" i="5"/>
  <c r="CO100" i="5"/>
  <c r="BM104" i="5"/>
  <c r="AX104" i="5" s="1"/>
  <c r="U113" i="5"/>
  <c r="O133" i="5"/>
  <c r="O135" i="5" s="1"/>
  <c r="O147" i="5" s="1"/>
  <c r="O137" i="5"/>
  <c r="O144" i="5" s="1"/>
  <c r="O146" i="5" s="1"/>
  <c r="CX133" i="5"/>
  <c r="DG137" i="5"/>
  <c r="DG133" i="5"/>
  <c r="CD133" i="5"/>
  <c r="CD135" i="5" s="1"/>
  <c r="AB118" i="5"/>
  <c r="BQ118" i="5"/>
  <c r="BQ121" i="5"/>
  <c r="AX121" i="5" s="1"/>
  <c r="V145" i="5"/>
  <c r="V146" i="5" s="1"/>
  <c r="BA145" i="5"/>
  <c r="BA113" i="5"/>
  <c r="BI145" i="5"/>
  <c r="DB145" i="5"/>
  <c r="BS105" i="5"/>
  <c r="I145" i="5"/>
  <c r="I113" i="5"/>
  <c r="V113" i="5"/>
  <c r="V135" i="5" s="1"/>
  <c r="BI113" i="5"/>
  <c r="N133" i="5"/>
  <c r="N135" i="5" s="1"/>
  <c r="N147" i="5" s="1"/>
  <c r="N137" i="5"/>
  <c r="N144" i="5" s="1"/>
  <c r="N146" i="5" s="1"/>
  <c r="BW133" i="5"/>
  <c r="BW135" i="5" s="1"/>
  <c r="BW147" i="5" s="1"/>
  <c r="AE138" i="5"/>
  <c r="AB117" i="5"/>
  <c r="BL138" i="5"/>
  <c r="CX138" i="5"/>
  <c r="BI133" i="5"/>
  <c r="BS114" i="5"/>
  <c r="BV133" i="5"/>
  <c r="CT133" i="5"/>
  <c r="CT137" i="5"/>
  <c r="CD137" i="5"/>
  <c r="CD144" i="5" s="1"/>
  <c r="CD146" i="5" s="1"/>
  <c r="AV138" i="5"/>
  <c r="BE138" i="5"/>
  <c r="BP138" i="5"/>
  <c r="AB119" i="5"/>
  <c r="U138" i="5"/>
  <c r="U144" i="5" s="1"/>
  <c r="U146" i="5" s="1"/>
  <c r="U133" i="5"/>
  <c r="BL124" i="5"/>
  <c r="BL133" i="5" s="1"/>
  <c r="DC124" i="5"/>
  <c r="DC133" i="5" s="1"/>
  <c r="BQ132" i="5"/>
  <c r="AX132" i="5" s="1"/>
  <c r="G132" i="5"/>
  <c r="DH132" i="5"/>
  <c r="CO132" i="5" s="1"/>
  <c r="BL109" i="5"/>
  <c r="AA111" i="5"/>
  <c r="AW111" i="5" s="1"/>
  <c r="Z133" i="5"/>
  <c r="P133" i="5"/>
  <c r="P135" i="5" s="1"/>
  <c r="P147" i="5" s="1"/>
  <c r="BG115" i="5"/>
  <c r="P137" i="5"/>
  <c r="P144" i="5" s="1"/>
  <c r="P146" i="5" s="1"/>
  <c r="CY116" i="5"/>
  <c r="G116" i="5"/>
  <c r="DB138" i="5"/>
  <c r="AO138" i="5"/>
  <c r="AO133" i="5"/>
  <c r="AB125" i="5"/>
  <c r="AX129" i="5"/>
  <c r="AA130" i="5"/>
  <c r="AW130" i="5" s="1"/>
  <c r="CM133" i="5"/>
  <c r="BG138" i="5"/>
  <c r="BV138" i="5"/>
  <c r="CT138" i="5"/>
  <c r="DC138" i="5"/>
  <c r="CO118" i="5"/>
  <c r="BF138" i="5"/>
  <c r="G124" i="5"/>
  <c r="AZ124" i="5"/>
  <c r="AX124" i="5" s="1"/>
  <c r="CK143" i="5"/>
  <c r="CK144" i="5" s="1"/>
  <c r="CK146" i="5" s="1"/>
  <c r="CK133" i="5"/>
  <c r="CK135" i="5" s="1"/>
  <c r="AG133" i="5"/>
  <c r="AB127" i="5"/>
  <c r="CS128" i="5"/>
  <c r="CO128" i="5" s="1"/>
  <c r="CS131" i="5"/>
  <c r="CO131" i="5" s="1"/>
  <c r="AD144" i="5"/>
  <c r="AA123" i="5"/>
  <c r="AW123" i="5" s="1"/>
  <c r="AX125" i="5"/>
  <c r="DF126" i="5"/>
  <c r="DF143" i="5" s="1"/>
  <c r="BM105" i="5"/>
  <c r="BB137" i="5"/>
  <c r="BJ133" i="5"/>
  <c r="BJ137" i="5"/>
  <c r="DC137" i="5"/>
  <c r="AM133" i="5"/>
  <c r="AM135" i="5" s="1"/>
  <c r="BK138" i="5"/>
  <c r="CM138" i="5"/>
  <c r="CV138" i="5"/>
  <c r="DF138" i="5"/>
  <c r="DH119" i="5"/>
  <c r="CO119" i="5" s="1"/>
  <c r="BQ119" i="5"/>
  <c r="AX119" i="5" s="1"/>
  <c r="DH120" i="5"/>
  <c r="CO120" i="5" s="1"/>
  <c r="BS120" i="5"/>
  <c r="G121" i="5"/>
  <c r="CQ124" i="5"/>
  <c r="CW138" i="5"/>
  <c r="CO122" i="5"/>
  <c r="Y144" i="5"/>
  <c r="Y146" i="5" s="1"/>
  <c r="BZ144" i="5"/>
  <c r="BZ146" i="5" s="1"/>
  <c r="BZ147" i="5" s="1"/>
  <c r="CF133" i="5"/>
  <c r="X144" i="5"/>
  <c r="X146" i="5" s="1"/>
  <c r="X147" i="5" s="1"/>
  <c r="CT145" i="5"/>
  <c r="AB126" i="5"/>
  <c r="AB132" i="5"/>
  <c r="R144" i="5"/>
  <c r="R146" i="5" s="1"/>
  <c r="AJ144" i="5"/>
  <c r="AJ146" i="5" s="1"/>
  <c r="AJ147" i="5" s="1"/>
  <c r="BT144" i="5"/>
  <c r="BT146" i="5" s="1"/>
  <c r="CJ144" i="5"/>
  <c r="CJ146" i="5" s="1"/>
  <c r="AC144" i="5"/>
  <c r="AC146" i="5" s="1"/>
  <c r="AC147" i="5" s="1"/>
  <c r="AK144" i="5"/>
  <c r="AK146" i="5" s="1"/>
  <c r="AK147" i="5" s="1"/>
  <c r="AS144" i="5"/>
  <c r="AS146" i="5" s="1"/>
  <c r="BU144" i="5"/>
  <c r="BY144" i="5"/>
  <c r="BY146" i="5" s="1"/>
  <c r="BT146" i="4"/>
  <c r="DE145" i="4"/>
  <c r="CL145" i="4"/>
  <c r="CK145" i="4"/>
  <c r="CJ145" i="4"/>
  <c r="CG145" i="4"/>
  <c r="CF145" i="4"/>
  <c r="CE145" i="4"/>
  <c r="CD145" i="4"/>
  <c r="CC145" i="4"/>
  <c r="CB145" i="4"/>
  <c r="CA145" i="4"/>
  <c r="BZ145" i="4"/>
  <c r="BY145" i="4"/>
  <c r="BX145" i="4"/>
  <c r="BW145" i="4"/>
  <c r="BV145" i="4"/>
  <c r="BT145" i="4"/>
  <c r="AU145" i="4"/>
  <c r="AT145" i="4"/>
  <c r="AS145" i="4"/>
  <c r="AP145" i="4"/>
  <c r="AO145" i="4"/>
  <c r="AN145" i="4"/>
  <c r="AM145" i="4"/>
  <c r="AL145" i="4"/>
  <c r="AK145" i="4"/>
  <c r="AJ145" i="4"/>
  <c r="AI145" i="4"/>
  <c r="AH145" i="4"/>
  <c r="AF145" i="4"/>
  <c r="AC145" i="4"/>
  <c r="Y145" i="4"/>
  <c r="X145" i="4"/>
  <c r="T145" i="4"/>
  <c r="S145" i="4"/>
  <c r="R145" i="4"/>
  <c r="Q145" i="4"/>
  <c r="P145" i="4"/>
  <c r="O145" i="4"/>
  <c r="N145" i="4"/>
  <c r="M145" i="4"/>
  <c r="L145" i="4"/>
  <c r="K145" i="4"/>
  <c r="J145" i="4"/>
  <c r="H145" i="4"/>
  <c r="BZ144" i="4"/>
  <c r="BZ146" i="4" s="1"/>
  <c r="V144" i="4"/>
  <c r="DE143" i="4"/>
  <c r="CJ143" i="4"/>
  <c r="AS143" i="4"/>
  <c r="Z143" i="4"/>
  <c r="X143" i="4"/>
  <c r="DE142" i="4"/>
  <c r="CL142" i="4"/>
  <c r="CK142" i="4"/>
  <c r="CJ142" i="4"/>
  <c r="CI142" i="4"/>
  <c r="CH142" i="4"/>
  <c r="CG142" i="4"/>
  <c r="CD142" i="4"/>
  <c r="CC142" i="4"/>
  <c r="CB142" i="4"/>
  <c r="CA142" i="4"/>
  <c r="BZ142" i="4"/>
  <c r="BW142" i="4"/>
  <c r="BV142" i="4"/>
  <c r="BU142" i="4"/>
  <c r="BT142" i="4"/>
  <c r="AU142" i="4"/>
  <c r="AT142" i="4"/>
  <c r="AS142" i="4"/>
  <c r="AR142" i="4"/>
  <c r="AQ142" i="4"/>
  <c r="AP142" i="4"/>
  <c r="AM142" i="4"/>
  <c r="AL142" i="4"/>
  <c r="AK142" i="4"/>
  <c r="AJ142" i="4"/>
  <c r="AI142" i="4"/>
  <c r="AF142" i="4"/>
  <c r="AE142" i="4"/>
  <c r="AD142" i="4"/>
  <c r="AC142" i="4"/>
  <c r="Y142" i="4"/>
  <c r="X142" i="4"/>
  <c r="V142" i="4"/>
  <c r="U142" i="4"/>
  <c r="T142" i="4"/>
  <c r="Q142" i="4"/>
  <c r="P142" i="4"/>
  <c r="O142" i="4"/>
  <c r="N142" i="4"/>
  <c r="M142" i="4"/>
  <c r="J142" i="4"/>
  <c r="I142" i="4"/>
  <c r="H142" i="4"/>
  <c r="DE141" i="4"/>
  <c r="CL141" i="4"/>
  <c r="CK141" i="4"/>
  <c r="CJ141" i="4"/>
  <c r="CI141" i="4"/>
  <c r="CH141" i="4"/>
  <c r="CE141" i="4"/>
  <c r="CD141" i="4"/>
  <c r="CC141" i="4"/>
  <c r="CB141" i="4"/>
  <c r="CA141" i="4"/>
  <c r="BZ141" i="4"/>
  <c r="BW141" i="4"/>
  <c r="BV141" i="4"/>
  <c r="BU141" i="4"/>
  <c r="BT141" i="4"/>
  <c r="AU141" i="4"/>
  <c r="AT141" i="4"/>
  <c r="AS141" i="4"/>
  <c r="AR141" i="4"/>
  <c r="AQ141" i="4"/>
  <c r="AN141" i="4"/>
  <c r="AM141" i="4"/>
  <c r="AL141" i="4"/>
  <c r="AK141" i="4"/>
  <c r="AJ141" i="4"/>
  <c r="AI141" i="4"/>
  <c r="AF141" i="4"/>
  <c r="AE141" i="4"/>
  <c r="AD141" i="4"/>
  <c r="AD144" i="4" s="1"/>
  <c r="AC141" i="4"/>
  <c r="Y141" i="4"/>
  <c r="X141" i="4"/>
  <c r="V141" i="4"/>
  <c r="U141" i="4"/>
  <c r="T141" i="4"/>
  <c r="S141" i="4"/>
  <c r="R141" i="4"/>
  <c r="Q141" i="4"/>
  <c r="P141" i="4"/>
  <c r="O141" i="4"/>
  <c r="N141" i="4"/>
  <c r="M141" i="4"/>
  <c r="L141" i="4"/>
  <c r="J141" i="4"/>
  <c r="H141" i="4"/>
  <c r="CK140" i="4"/>
  <c r="CI140" i="4"/>
  <c r="CG140" i="4"/>
  <c r="CD140" i="4"/>
  <c r="CC140" i="4"/>
  <c r="CB140" i="4"/>
  <c r="CA140" i="4"/>
  <c r="BZ140" i="4"/>
  <c r="BX140" i="4"/>
  <c r="BW140" i="4"/>
  <c r="BU140" i="4"/>
  <c r="BT140" i="4"/>
  <c r="AT140" i="4"/>
  <c r="AR140" i="4"/>
  <c r="AP140" i="4"/>
  <c r="AM140" i="4"/>
  <c r="AL140" i="4"/>
  <c r="AK140" i="4"/>
  <c r="AJ140" i="4"/>
  <c r="AI140" i="4"/>
  <c r="AG140" i="4"/>
  <c r="AF140" i="4"/>
  <c r="AD140" i="4"/>
  <c r="AC140" i="4"/>
  <c r="X140" i="4"/>
  <c r="V140" i="4"/>
  <c r="T140" i="4"/>
  <c r="S140" i="4"/>
  <c r="Q140" i="4"/>
  <c r="P140" i="4"/>
  <c r="O140" i="4"/>
  <c r="N140" i="4"/>
  <c r="M140" i="4"/>
  <c r="K140" i="4"/>
  <c r="J140" i="4"/>
  <c r="H140" i="4"/>
  <c r="DE139" i="4"/>
  <c r="CL139" i="4"/>
  <c r="CK139" i="4"/>
  <c r="CJ139" i="4"/>
  <c r="CI139" i="4"/>
  <c r="CH139" i="4"/>
  <c r="CG139" i="4"/>
  <c r="CF139" i="4"/>
  <c r="CE139" i="4"/>
  <c r="CD139" i="4"/>
  <c r="CC139" i="4"/>
  <c r="CB139" i="4"/>
  <c r="CA139" i="4"/>
  <c r="BZ139" i="4"/>
  <c r="BY139" i="4"/>
  <c r="BW139" i="4"/>
  <c r="BU139" i="4"/>
  <c r="BT139" i="4"/>
  <c r="BO139" i="4"/>
  <c r="AU139" i="4"/>
  <c r="AT139" i="4"/>
  <c r="AS139" i="4"/>
  <c r="AR139" i="4"/>
  <c r="AQ139" i="4"/>
  <c r="AP139" i="4"/>
  <c r="AO139" i="4"/>
  <c r="AN139" i="4"/>
  <c r="AM139" i="4"/>
  <c r="AL139" i="4"/>
  <c r="AK139" i="4"/>
  <c r="AJ139" i="4"/>
  <c r="AI139" i="4"/>
  <c r="AH139" i="4"/>
  <c r="AF139" i="4"/>
  <c r="AD139" i="4"/>
  <c r="AC139" i="4"/>
  <c r="Y139" i="4"/>
  <c r="X139" i="4"/>
  <c r="V139" i="4"/>
  <c r="U139" i="4"/>
  <c r="T139" i="4"/>
  <c r="S139" i="4"/>
  <c r="R139" i="4"/>
  <c r="Q139" i="4"/>
  <c r="P139" i="4"/>
  <c r="O139" i="4"/>
  <c r="N139" i="4"/>
  <c r="M139" i="4"/>
  <c r="L139" i="4"/>
  <c r="J139" i="4"/>
  <c r="H139" i="4"/>
  <c r="DE138" i="4"/>
  <c r="CS138" i="4"/>
  <c r="CL138" i="4"/>
  <c r="CK138" i="4"/>
  <c r="CJ138" i="4"/>
  <c r="CI138" i="4"/>
  <c r="CH138" i="4"/>
  <c r="CG138" i="4"/>
  <c r="CE138" i="4"/>
  <c r="CC138" i="4"/>
  <c r="CB138" i="4"/>
  <c r="CA138" i="4"/>
  <c r="BZ138" i="4"/>
  <c r="BY138" i="4"/>
  <c r="BX138" i="4"/>
  <c r="BW138" i="4"/>
  <c r="BU138" i="4"/>
  <c r="BT138" i="4"/>
  <c r="AU138" i="4"/>
  <c r="AT138" i="4"/>
  <c r="AS138" i="4"/>
  <c r="AR138" i="4"/>
  <c r="AQ138" i="4"/>
  <c r="AP138" i="4"/>
  <c r="AN138" i="4"/>
  <c r="AL138" i="4"/>
  <c r="AK138" i="4"/>
  <c r="AJ138" i="4"/>
  <c r="AI138" i="4"/>
  <c r="AH138" i="4"/>
  <c r="AG138" i="4"/>
  <c r="AF138" i="4"/>
  <c r="AD138" i="4"/>
  <c r="AC138" i="4"/>
  <c r="Y138" i="4"/>
  <c r="X138" i="4"/>
  <c r="V138" i="4"/>
  <c r="U138" i="4"/>
  <c r="T138" i="4"/>
  <c r="S138" i="4"/>
  <c r="R138" i="4"/>
  <c r="P138" i="4"/>
  <c r="O138" i="4"/>
  <c r="N138" i="4"/>
  <c r="M138" i="4"/>
  <c r="L138" i="4"/>
  <c r="K138" i="4"/>
  <c r="J138" i="4"/>
  <c r="H138" i="4"/>
  <c r="DE137" i="4"/>
  <c r="DC137" i="4"/>
  <c r="CL137" i="4"/>
  <c r="CK137" i="4"/>
  <c r="CJ137" i="4"/>
  <c r="CI137" i="4"/>
  <c r="CH137" i="4"/>
  <c r="CG137" i="4"/>
  <c r="CF137" i="4"/>
  <c r="CE137" i="4"/>
  <c r="CB137" i="4"/>
  <c r="CB144" i="4" s="1"/>
  <c r="CB146" i="4" s="1"/>
  <c r="CA137" i="4"/>
  <c r="CA144" i="4" s="1"/>
  <c r="CA146" i="4" s="1"/>
  <c r="BZ137" i="4"/>
  <c r="BY137" i="4"/>
  <c r="BX137" i="4"/>
  <c r="BU137" i="4"/>
  <c r="BT137" i="4"/>
  <c r="BT144" i="4" s="1"/>
  <c r="BO137" i="4"/>
  <c r="AU137" i="4"/>
  <c r="AT137" i="4"/>
  <c r="AS137" i="4"/>
  <c r="AR137" i="4"/>
  <c r="AQ137" i="4"/>
  <c r="AP137" i="4"/>
  <c r="AO137" i="4"/>
  <c r="AN137" i="4"/>
  <c r="AK137" i="4"/>
  <c r="AK144" i="4" s="1"/>
  <c r="AK146" i="4" s="1"/>
  <c r="AJ137" i="4"/>
  <c r="AJ144" i="4" s="1"/>
  <c r="AJ146" i="4" s="1"/>
  <c r="AI137" i="4"/>
  <c r="AH137" i="4"/>
  <c r="AG137" i="4"/>
  <c r="AD137" i="4"/>
  <c r="AC137" i="4"/>
  <c r="AC144" i="4" s="1"/>
  <c r="AC146" i="4" s="1"/>
  <c r="AC147" i="4" s="1"/>
  <c r="Y137" i="4"/>
  <c r="X137" i="4"/>
  <c r="X144" i="4" s="1"/>
  <c r="X146" i="4" s="1"/>
  <c r="V137" i="4"/>
  <c r="U137" i="4"/>
  <c r="T137" i="4"/>
  <c r="S137" i="4"/>
  <c r="R137" i="4"/>
  <c r="P137" i="4"/>
  <c r="P144" i="4" s="1"/>
  <c r="P146" i="4" s="1"/>
  <c r="N137" i="4"/>
  <c r="N144" i="4" s="1"/>
  <c r="N146" i="4" s="1"/>
  <c r="L137" i="4"/>
  <c r="K137" i="4"/>
  <c r="H137" i="4"/>
  <c r="DL136" i="4"/>
  <c r="DK136" i="4"/>
  <c r="DJ136" i="4"/>
  <c r="DL134" i="4"/>
  <c r="DK134" i="4"/>
  <c r="DJ134" i="4"/>
  <c r="DE133" i="4"/>
  <c r="CL133" i="4"/>
  <c r="CI133" i="4"/>
  <c r="CH133" i="4"/>
  <c r="CE133" i="4"/>
  <c r="CB133" i="4"/>
  <c r="CA133" i="4"/>
  <c r="BZ133" i="4"/>
  <c r="BY133" i="4"/>
  <c r="BU133" i="4"/>
  <c r="BT133" i="4"/>
  <c r="BN133" i="4"/>
  <c r="AY133" i="4"/>
  <c r="AU133" i="4"/>
  <c r="AS133" i="4"/>
  <c r="AR133" i="4"/>
  <c r="AQ133" i="4"/>
  <c r="AP133" i="4"/>
  <c r="AN133" i="4"/>
  <c r="AK133" i="4"/>
  <c r="AJ133" i="4"/>
  <c r="AI133" i="4"/>
  <c r="AH133" i="4"/>
  <c r="AD133" i="4"/>
  <c r="Y133" i="4"/>
  <c r="X133" i="4"/>
  <c r="W133" i="4"/>
  <c r="V133" i="4"/>
  <c r="U133" i="4"/>
  <c r="S133" i="4"/>
  <c r="R133" i="4"/>
  <c r="L133" i="4"/>
  <c r="I133" i="4"/>
  <c r="H133" i="4"/>
  <c r="DG132" i="4"/>
  <c r="DF132" i="4"/>
  <c r="DD132" i="4"/>
  <c r="DC132" i="4"/>
  <c r="DB132" i="4"/>
  <c r="DA132" i="4"/>
  <c r="CZ132" i="4"/>
  <c r="CY132" i="4"/>
  <c r="CX132" i="4"/>
  <c r="CW132" i="4"/>
  <c r="CV132" i="4"/>
  <c r="CU132" i="4"/>
  <c r="CT132" i="4"/>
  <c r="CR132" i="4"/>
  <c r="CQ132" i="4"/>
  <c r="CP132" i="4"/>
  <c r="CM132" i="4"/>
  <c r="DH132" i="4" s="1"/>
  <c r="BX132" i="4"/>
  <c r="BP132" i="4"/>
  <c r="BM132" i="4"/>
  <c r="BL132" i="4"/>
  <c r="BK132" i="4"/>
  <c r="BJ132" i="4"/>
  <c r="BI132" i="4"/>
  <c r="BH132" i="4"/>
  <c r="BG132" i="4"/>
  <c r="BF132" i="4"/>
  <c r="BE132" i="4"/>
  <c r="BD132" i="4"/>
  <c r="BC132" i="4"/>
  <c r="BB132" i="4"/>
  <c r="BA132" i="4"/>
  <c r="AZ132" i="4"/>
  <c r="AY132" i="4"/>
  <c r="AV132" i="4"/>
  <c r="BQ132" i="4" s="1"/>
  <c r="AG132" i="4"/>
  <c r="AB132" i="4"/>
  <c r="Z132" i="4"/>
  <c r="G132" i="4"/>
  <c r="DH131" i="4"/>
  <c r="DG131" i="4"/>
  <c r="DF131" i="4"/>
  <c r="DD131" i="4"/>
  <c r="DC131" i="4"/>
  <c r="DB131" i="4"/>
  <c r="DA131" i="4"/>
  <c r="CZ131" i="4"/>
  <c r="CY131" i="4"/>
  <c r="CX131" i="4"/>
  <c r="CW131" i="4"/>
  <c r="CV131" i="4"/>
  <c r="CU131" i="4"/>
  <c r="CT131" i="4"/>
  <c r="CR131" i="4"/>
  <c r="CQ131" i="4"/>
  <c r="CP131" i="4"/>
  <c r="CO131" i="4"/>
  <c r="BX131" i="4"/>
  <c r="CS131" i="4" s="1"/>
  <c r="BS131" i="4"/>
  <c r="BR131" i="4" s="1"/>
  <c r="CN131" i="4" s="1"/>
  <c r="BQ131" i="4"/>
  <c r="BP131" i="4"/>
  <c r="BM131" i="4"/>
  <c r="BL131" i="4"/>
  <c r="BK131" i="4"/>
  <c r="BJ131" i="4"/>
  <c r="BI131" i="4"/>
  <c r="BH131" i="4"/>
  <c r="BG131" i="4"/>
  <c r="BF131" i="4"/>
  <c r="BE131" i="4"/>
  <c r="BD131" i="4"/>
  <c r="BC131" i="4"/>
  <c r="BA131" i="4"/>
  <c r="AZ131" i="4"/>
  <c r="AY131" i="4"/>
  <c r="AG131" i="4"/>
  <c r="G131" i="4"/>
  <c r="DJ131" i="4" s="1"/>
  <c r="DH130" i="4"/>
  <c r="DG130" i="4"/>
  <c r="DF130" i="4"/>
  <c r="DD130" i="4"/>
  <c r="DC130" i="4"/>
  <c r="DB130" i="4"/>
  <c r="DA130" i="4"/>
  <c r="CZ130" i="4"/>
  <c r="CY130" i="4"/>
  <c r="CX130" i="4"/>
  <c r="CW130" i="4"/>
  <c r="CV130" i="4"/>
  <c r="CU130" i="4"/>
  <c r="CT130" i="4"/>
  <c r="CR130" i="4"/>
  <c r="CQ130" i="4"/>
  <c r="CP130" i="4"/>
  <c r="BX130" i="4"/>
  <c r="BQ130" i="4"/>
  <c r="BP130" i="4"/>
  <c r="BM130" i="4"/>
  <c r="BL130" i="4"/>
  <c r="BK130" i="4"/>
  <c r="BJ130" i="4"/>
  <c r="BI130" i="4"/>
  <c r="BH130" i="4"/>
  <c r="BG130" i="4"/>
  <c r="BF130" i="4"/>
  <c r="BE130" i="4"/>
  <c r="BD130" i="4"/>
  <c r="BC130" i="4"/>
  <c r="BB130" i="4"/>
  <c r="BA130" i="4"/>
  <c r="AZ130" i="4"/>
  <c r="AY130" i="4"/>
  <c r="AG130" i="4"/>
  <c r="AB130" i="4" s="1"/>
  <c r="AA130" i="4" s="1"/>
  <c r="AW130" i="4" s="1"/>
  <c r="G130" i="4"/>
  <c r="DJ130" i="4" s="1"/>
  <c r="DH129" i="4"/>
  <c r="DG129" i="4"/>
  <c r="DF129" i="4"/>
  <c r="DD129" i="4"/>
  <c r="DC129" i="4"/>
  <c r="DB129" i="4"/>
  <c r="DA129" i="4"/>
  <c r="CZ129" i="4"/>
  <c r="CY129" i="4"/>
  <c r="CX129" i="4"/>
  <c r="CW129" i="4"/>
  <c r="CV129" i="4"/>
  <c r="CU129" i="4"/>
  <c r="CT129" i="4"/>
  <c r="CS129" i="4"/>
  <c r="CR129" i="4"/>
  <c r="CQ129" i="4"/>
  <c r="CP129" i="4"/>
  <c r="CO129" i="4"/>
  <c r="DL129" i="4" s="1"/>
  <c r="BS129" i="4"/>
  <c r="BQ129" i="4"/>
  <c r="BP129" i="4"/>
  <c r="BM129" i="4"/>
  <c r="BL129" i="4"/>
  <c r="BK129" i="4"/>
  <c r="BJ129" i="4"/>
  <c r="BI129" i="4"/>
  <c r="BH129" i="4"/>
  <c r="BG129" i="4"/>
  <c r="BF129" i="4"/>
  <c r="BE129" i="4"/>
  <c r="BD129" i="4"/>
  <c r="BC129" i="4"/>
  <c r="BB129" i="4"/>
  <c r="BA129" i="4"/>
  <c r="AZ129" i="4"/>
  <c r="AY129" i="4"/>
  <c r="AB129" i="4"/>
  <c r="G129" i="4"/>
  <c r="DJ128" i="4"/>
  <c r="DH128" i="4"/>
  <c r="DG128" i="4"/>
  <c r="DF128" i="4"/>
  <c r="DD128" i="4"/>
  <c r="DC128" i="4"/>
  <c r="DB128" i="4"/>
  <c r="DA128" i="4"/>
  <c r="CZ128" i="4"/>
  <c r="CY128" i="4"/>
  <c r="CX128" i="4"/>
  <c r="CW128" i="4"/>
  <c r="CV128" i="4"/>
  <c r="CU128" i="4"/>
  <c r="CT128" i="4"/>
  <c r="CR128" i="4"/>
  <c r="CQ128" i="4"/>
  <c r="CP128" i="4"/>
  <c r="BX128" i="4"/>
  <c r="BS128" i="4" s="1"/>
  <c r="BQ128" i="4"/>
  <c r="BP128" i="4"/>
  <c r="BM128" i="4"/>
  <c r="BL128" i="4"/>
  <c r="BK128" i="4"/>
  <c r="BJ128" i="4"/>
  <c r="BI128" i="4"/>
  <c r="BH128" i="4"/>
  <c r="BG128" i="4"/>
  <c r="BF128" i="4"/>
  <c r="BE128" i="4"/>
  <c r="BD128" i="4"/>
  <c r="BC128" i="4"/>
  <c r="BA128" i="4"/>
  <c r="AZ128" i="4"/>
  <c r="AY128" i="4"/>
  <c r="AG128" i="4"/>
  <c r="AB128" i="4" s="1"/>
  <c r="AA128" i="4" s="1"/>
  <c r="AW128" i="4" s="1"/>
  <c r="K128" i="4"/>
  <c r="G128" i="4" s="1"/>
  <c r="DH127" i="4"/>
  <c r="DG127" i="4"/>
  <c r="DF127" i="4"/>
  <c r="DD127" i="4"/>
  <c r="DC127" i="4"/>
  <c r="DB127" i="4"/>
  <c r="DA127" i="4"/>
  <c r="CZ127" i="4"/>
  <c r="CY127" i="4"/>
  <c r="CX127" i="4"/>
  <c r="CW127" i="4"/>
  <c r="CV127" i="4"/>
  <c r="CU127" i="4"/>
  <c r="CT127" i="4"/>
  <c r="CS127" i="4"/>
  <c r="CR127" i="4"/>
  <c r="CQ127" i="4"/>
  <c r="CP127" i="4"/>
  <c r="BX127" i="4"/>
  <c r="BS127" i="4" s="1"/>
  <c r="BR127" i="4" s="1"/>
  <c r="CN127" i="4" s="1"/>
  <c r="BQ127" i="4"/>
  <c r="BP127" i="4"/>
  <c r="BM127" i="4"/>
  <c r="BL127" i="4"/>
  <c r="BK127" i="4"/>
  <c r="BJ127" i="4"/>
  <c r="BI127" i="4"/>
  <c r="BH127" i="4"/>
  <c r="BG127" i="4"/>
  <c r="BF127" i="4"/>
  <c r="BE127" i="4"/>
  <c r="BD127" i="4"/>
  <c r="BC127" i="4"/>
  <c r="BA127" i="4"/>
  <c r="AZ127" i="4"/>
  <c r="AY127" i="4"/>
  <c r="AG127" i="4"/>
  <c r="AB127" i="4"/>
  <c r="AA127" i="4" s="1"/>
  <c r="AW127" i="4" s="1"/>
  <c r="K127" i="4"/>
  <c r="G127" i="4"/>
  <c r="DJ127" i="4" s="1"/>
  <c r="CK126" i="4"/>
  <c r="CK133" i="4" s="1"/>
  <c r="CG126" i="4"/>
  <c r="AT126" i="4"/>
  <c r="AP126" i="4"/>
  <c r="AP143" i="4" s="1"/>
  <c r="T126" i="4"/>
  <c r="DH125" i="4"/>
  <c r="DG125" i="4"/>
  <c r="DF125" i="4"/>
  <c r="DD125" i="4"/>
  <c r="DC125" i="4"/>
  <c r="DB125" i="4"/>
  <c r="CZ125" i="4"/>
  <c r="CY125" i="4"/>
  <c r="CX125" i="4"/>
  <c r="CW125" i="4"/>
  <c r="CV125" i="4"/>
  <c r="CV138" i="4" s="1"/>
  <c r="CU125" i="4"/>
  <c r="CT125" i="4"/>
  <c r="CS125" i="4"/>
  <c r="CR125" i="4"/>
  <c r="CQ125" i="4"/>
  <c r="CP125" i="4"/>
  <c r="CF125" i="4"/>
  <c r="BQ125" i="4"/>
  <c r="BP125" i="4"/>
  <c r="BO125" i="4"/>
  <c r="BO138" i="4" s="1"/>
  <c r="BM125" i="4"/>
  <c r="BL125" i="4"/>
  <c r="BK125" i="4"/>
  <c r="BI125" i="4"/>
  <c r="BH125" i="4"/>
  <c r="BG125" i="4"/>
  <c r="BF125" i="4"/>
  <c r="BE125" i="4"/>
  <c r="BD125" i="4"/>
  <c r="BC125" i="4"/>
  <c r="BB125" i="4"/>
  <c r="BA125" i="4"/>
  <c r="AZ125" i="4"/>
  <c r="AY125" i="4"/>
  <c r="AO125" i="4"/>
  <c r="AB125" i="4" s="1"/>
  <c r="G125" i="4"/>
  <c r="DJ125" i="4" s="1"/>
  <c r="DH124" i="4"/>
  <c r="DG124" i="4"/>
  <c r="DF124" i="4"/>
  <c r="DD124" i="4"/>
  <c r="DB124" i="4"/>
  <c r="DA124" i="4"/>
  <c r="CZ124" i="4"/>
  <c r="CY124" i="4"/>
  <c r="CX124" i="4"/>
  <c r="CW124" i="4"/>
  <c r="CV124" i="4"/>
  <c r="CU124" i="4"/>
  <c r="CT124" i="4"/>
  <c r="CS124" i="4"/>
  <c r="CR124" i="4"/>
  <c r="CQ124" i="4"/>
  <c r="CO124" i="4" s="1"/>
  <c r="CP124" i="4"/>
  <c r="BV124" i="4"/>
  <c r="BS124" i="4" s="1"/>
  <c r="BQ124" i="4"/>
  <c r="BP124" i="4"/>
  <c r="BM124" i="4"/>
  <c r="BL124" i="4"/>
  <c r="BK124" i="4"/>
  <c r="BJ124" i="4"/>
  <c r="BI124" i="4"/>
  <c r="BH124" i="4"/>
  <c r="BG124" i="4"/>
  <c r="BF124" i="4"/>
  <c r="BE124" i="4"/>
  <c r="BD124" i="4"/>
  <c r="BC124" i="4"/>
  <c r="BB124" i="4"/>
  <c r="BA124" i="4"/>
  <c r="AY124" i="4"/>
  <c r="AE124" i="4"/>
  <c r="AB124" i="4" s="1"/>
  <c r="U124" i="4"/>
  <c r="DC124" i="4" s="1"/>
  <c r="I124" i="4"/>
  <c r="DG123" i="4"/>
  <c r="DF123" i="4"/>
  <c r="DD123" i="4"/>
  <c r="DC123" i="4"/>
  <c r="DB123" i="4"/>
  <c r="DA123" i="4"/>
  <c r="CZ123" i="4"/>
  <c r="CY123" i="4"/>
  <c r="CX123" i="4"/>
  <c r="CW123" i="4"/>
  <c r="CV123" i="4"/>
  <c r="CU123" i="4"/>
  <c r="CT123" i="4"/>
  <c r="CS123" i="4"/>
  <c r="CR123" i="4"/>
  <c r="CQ123" i="4"/>
  <c r="CP123" i="4"/>
  <c r="CM123" i="4"/>
  <c r="BS123" i="4"/>
  <c r="BP123" i="4"/>
  <c r="BM123" i="4"/>
  <c r="BL123" i="4"/>
  <c r="BK123" i="4"/>
  <c r="BJ123" i="4"/>
  <c r="BI123" i="4"/>
  <c r="BH123" i="4"/>
  <c r="BG123" i="4"/>
  <c r="BF123" i="4"/>
  <c r="BE123" i="4"/>
  <c r="BD123" i="4"/>
  <c r="BC123" i="4"/>
  <c r="BB123" i="4"/>
  <c r="BA123" i="4"/>
  <c r="AZ123" i="4"/>
  <c r="AY123" i="4"/>
  <c r="AV123" i="4"/>
  <c r="AB123" i="4" s="1"/>
  <c r="Z123" i="4"/>
  <c r="G123" i="4"/>
  <c r="DJ122" i="4"/>
  <c r="DG122" i="4"/>
  <c r="DF122" i="4"/>
  <c r="DD122" i="4"/>
  <c r="DC122" i="4"/>
  <c r="DB122" i="4"/>
  <c r="DA122" i="4"/>
  <c r="CZ122" i="4"/>
  <c r="CY122" i="4"/>
  <c r="CX122" i="4"/>
  <c r="CW122" i="4"/>
  <c r="CV122" i="4"/>
  <c r="CU122" i="4"/>
  <c r="CT122" i="4"/>
  <c r="CS122" i="4"/>
  <c r="CR122" i="4"/>
  <c r="CQ122" i="4"/>
  <c r="CP122" i="4"/>
  <c r="CM122" i="4"/>
  <c r="DH122" i="4" s="1"/>
  <c r="BQ122" i="4"/>
  <c r="AX122" i="4" s="1"/>
  <c r="BP122" i="4"/>
  <c r="BM122" i="4"/>
  <c r="BL122" i="4"/>
  <c r="BK122" i="4"/>
  <c r="BJ122" i="4"/>
  <c r="BI122" i="4"/>
  <c r="BH122" i="4"/>
  <c r="BG122" i="4"/>
  <c r="BF122" i="4"/>
  <c r="BE122" i="4"/>
  <c r="BD122" i="4"/>
  <c r="BC122" i="4"/>
  <c r="BB122" i="4"/>
  <c r="BA122" i="4"/>
  <c r="AZ122" i="4"/>
  <c r="AY122" i="4"/>
  <c r="AV122" i="4"/>
  <c r="AB122" i="4"/>
  <c r="AA122" i="4" s="1"/>
  <c r="AW122" i="4" s="1"/>
  <c r="Z122" i="4"/>
  <c r="G122" i="4" s="1"/>
  <c r="DG121" i="4"/>
  <c r="DF121" i="4"/>
  <c r="DD121" i="4"/>
  <c r="DC121" i="4"/>
  <c r="DB121" i="4"/>
  <c r="DA121" i="4"/>
  <c r="CZ121" i="4"/>
  <c r="CY121" i="4"/>
  <c r="CX121" i="4"/>
  <c r="CW121" i="4"/>
  <c r="CV121" i="4"/>
  <c r="CU121" i="4"/>
  <c r="CT121" i="4"/>
  <c r="CS121" i="4"/>
  <c r="CR121" i="4"/>
  <c r="CP121" i="4"/>
  <c r="CM121" i="4"/>
  <c r="BS121" i="4" s="1"/>
  <c r="BP121" i="4"/>
  <c r="BM121" i="4"/>
  <c r="BL121" i="4"/>
  <c r="BK121" i="4"/>
  <c r="BJ121" i="4"/>
  <c r="BI121" i="4"/>
  <c r="BH121" i="4"/>
  <c r="BG121" i="4"/>
  <c r="BF121" i="4"/>
  <c r="BE121" i="4"/>
  <c r="BD121" i="4"/>
  <c r="BC121" i="4"/>
  <c r="BB121" i="4"/>
  <c r="BA121" i="4"/>
  <c r="AY121" i="4"/>
  <c r="AV121" i="4"/>
  <c r="AB121" i="4" s="1"/>
  <c r="Z121" i="4"/>
  <c r="I121" i="4"/>
  <c r="DG120" i="4"/>
  <c r="DF120" i="4"/>
  <c r="DD120" i="4"/>
  <c r="DC120" i="4"/>
  <c r="DB120" i="4"/>
  <c r="DA120" i="4"/>
  <c r="CZ120" i="4"/>
  <c r="CX120" i="4"/>
  <c r="CW120" i="4"/>
  <c r="CW138" i="4" s="1"/>
  <c r="CV120" i="4"/>
  <c r="CU120" i="4"/>
  <c r="CT120" i="4"/>
  <c r="CS120" i="4"/>
  <c r="CR120" i="4"/>
  <c r="CP120" i="4"/>
  <c r="CM120" i="4"/>
  <c r="DH120" i="4" s="1"/>
  <c r="CD120" i="4"/>
  <c r="BS120" i="4" s="1"/>
  <c r="BV120" i="4"/>
  <c r="CQ120" i="4" s="1"/>
  <c r="BP120" i="4"/>
  <c r="BM120" i="4"/>
  <c r="BL120" i="4"/>
  <c r="BK120" i="4"/>
  <c r="BJ120" i="4"/>
  <c r="BI120" i="4"/>
  <c r="BH120" i="4"/>
  <c r="BG120" i="4"/>
  <c r="BF120" i="4"/>
  <c r="BE120" i="4"/>
  <c r="BD120" i="4"/>
  <c r="BC120" i="4"/>
  <c r="BB120" i="4"/>
  <c r="BA120" i="4"/>
  <c r="AZ120" i="4"/>
  <c r="AY120" i="4"/>
  <c r="AV120" i="4"/>
  <c r="AE120" i="4"/>
  <c r="AB120" i="4"/>
  <c r="Z120" i="4"/>
  <c r="DG119" i="4"/>
  <c r="DF119" i="4"/>
  <c r="DD119" i="4"/>
  <c r="DC119" i="4"/>
  <c r="DB119" i="4"/>
  <c r="DA119" i="4"/>
  <c r="CZ119" i="4"/>
  <c r="CY119" i="4"/>
  <c r="CX119" i="4"/>
  <c r="CW119" i="4"/>
  <c r="CV119" i="4"/>
  <c r="CU119" i="4"/>
  <c r="CT119" i="4"/>
  <c r="CS119" i="4"/>
  <c r="CR119" i="4"/>
  <c r="CP119" i="4"/>
  <c r="CM119" i="4"/>
  <c r="BV119" i="4"/>
  <c r="BS119" i="4" s="1"/>
  <c r="BP119" i="4"/>
  <c r="BM119" i="4"/>
  <c r="BL119" i="4"/>
  <c r="BK119" i="4"/>
  <c r="BJ119" i="4"/>
  <c r="BI119" i="4"/>
  <c r="BH119" i="4"/>
  <c r="BG119" i="4"/>
  <c r="BF119" i="4"/>
  <c r="BE119" i="4"/>
  <c r="BD119" i="4"/>
  <c r="BC119" i="4"/>
  <c r="BB119" i="4"/>
  <c r="BA119" i="4"/>
  <c r="AZ119" i="4"/>
  <c r="AY119" i="4"/>
  <c r="AV119" i="4"/>
  <c r="AE119" i="4"/>
  <c r="AB119" i="4" s="1"/>
  <c r="Z119" i="4"/>
  <c r="I119" i="4"/>
  <c r="DH118" i="4"/>
  <c r="DG118" i="4"/>
  <c r="DF118" i="4"/>
  <c r="DD118" i="4"/>
  <c r="DC118" i="4"/>
  <c r="DB118" i="4"/>
  <c r="DA118" i="4"/>
  <c r="CZ118" i="4"/>
  <c r="CY118" i="4"/>
  <c r="CX118" i="4"/>
  <c r="CW118" i="4"/>
  <c r="CV118" i="4"/>
  <c r="CU118" i="4"/>
  <c r="CT118" i="4"/>
  <c r="CS118" i="4"/>
  <c r="CR118" i="4"/>
  <c r="CQ118" i="4"/>
  <c r="CO118" i="4" s="1"/>
  <c r="CP118" i="4"/>
  <c r="BV118" i="4"/>
  <c r="BS118" i="4" s="1"/>
  <c r="BR118" i="4" s="1"/>
  <c r="CN118" i="4" s="1"/>
  <c r="BP118" i="4"/>
  <c r="BM118" i="4"/>
  <c r="BL118" i="4"/>
  <c r="BK118" i="4"/>
  <c r="BJ118" i="4"/>
  <c r="BI118" i="4"/>
  <c r="BH118" i="4"/>
  <c r="BG118" i="4"/>
  <c r="BF118" i="4"/>
  <c r="BE118" i="4"/>
  <c r="BD118" i="4"/>
  <c r="BC118" i="4"/>
  <c r="BB118" i="4"/>
  <c r="BA118" i="4"/>
  <c r="AY118" i="4"/>
  <c r="AV118" i="4"/>
  <c r="BQ118" i="4" s="1"/>
  <c r="AE118" i="4"/>
  <c r="I118" i="4"/>
  <c r="G118" i="4" s="1"/>
  <c r="DJ118" i="4" s="1"/>
  <c r="DG117" i="4"/>
  <c r="DF117" i="4"/>
  <c r="DD117" i="4"/>
  <c r="DC117" i="4"/>
  <c r="DB117" i="4"/>
  <c r="DA117" i="4"/>
  <c r="CZ117" i="4"/>
  <c r="CZ138" i="4" s="1"/>
  <c r="CX117" i="4"/>
  <c r="CW117" i="4"/>
  <c r="CV117" i="4"/>
  <c r="CU117" i="4"/>
  <c r="CU138" i="4" s="1"/>
  <c r="CT117" i="4"/>
  <c r="CS117" i="4"/>
  <c r="CR117" i="4"/>
  <c r="CR138" i="4" s="1"/>
  <c r="CP117" i="4"/>
  <c r="CM117" i="4"/>
  <c r="CD117" i="4"/>
  <c r="BV117" i="4"/>
  <c r="BP117" i="4"/>
  <c r="BM117" i="4"/>
  <c r="BL117" i="4"/>
  <c r="BL138" i="4" s="1"/>
  <c r="BK117" i="4"/>
  <c r="BK138" i="4" s="1"/>
  <c r="BJ117" i="4"/>
  <c r="BI117" i="4"/>
  <c r="BG117" i="4"/>
  <c r="BF117" i="4"/>
  <c r="BE117" i="4"/>
  <c r="BD117" i="4"/>
  <c r="BD138" i="4" s="1"/>
  <c r="BC117" i="4"/>
  <c r="BC138" i="4" s="1"/>
  <c r="BB117" i="4"/>
  <c r="BB138" i="4" s="1"/>
  <c r="BA117" i="4"/>
  <c r="AY117" i="4"/>
  <c r="AY138" i="4" s="1"/>
  <c r="AV117" i="4"/>
  <c r="AM117" i="4"/>
  <c r="AM138" i="4" s="1"/>
  <c r="AE117" i="4"/>
  <c r="AE138" i="4" s="1"/>
  <c r="Z117" i="4"/>
  <c r="Q117" i="4"/>
  <c r="I117" i="4"/>
  <c r="DH116" i="4"/>
  <c r="DG116" i="4"/>
  <c r="DF116" i="4"/>
  <c r="DD116" i="4"/>
  <c r="DC116" i="4"/>
  <c r="DB116" i="4"/>
  <c r="DA116" i="4"/>
  <c r="CZ116" i="4"/>
  <c r="CX116" i="4"/>
  <c r="CW116" i="4"/>
  <c r="CV116" i="4"/>
  <c r="CV137" i="4" s="1"/>
  <c r="CU116" i="4"/>
  <c r="CT116" i="4"/>
  <c r="CS116" i="4"/>
  <c r="CQ116" i="4"/>
  <c r="CP116" i="4"/>
  <c r="CD116" i="4"/>
  <c r="BW116" i="4"/>
  <c r="BQ116" i="4"/>
  <c r="BP116" i="4"/>
  <c r="BM116" i="4"/>
  <c r="BL116" i="4"/>
  <c r="BK116" i="4"/>
  <c r="BJ116" i="4"/>
  <c r="BI116" i="4"/>
  <c r="BG116" i="4"/>
  <c r="BF116" i="4"/>
  <c r="BE116" i="4"/>
  <c r="BD116" i="4"/>
  <c r="BC116" i="4"/>
  <c r="BB116" i="4"/>
  <c r="AZ116" i="4"/>
  <c r="AY116" i="4"/>
  <c r="AM116" i="4"/>
  <c r="AB116" i="4" s="1"/>
  <c r="AA116" i="4" s="1"/>
  <c r="AW116" i="4" s="1"/>
  <c r="AF116" i="4"/>
  <c r="BA116" i="4" s="1"/>
  <c r="Q116" i="4"/>
  <c r="J116" i="4"/>
  <c r="G116" i="4"/>
  <c r="DJ116" i="4" s="1"/>
  <c r="DG115" i="4"/>
  <c r="DF115" i="4"/>
  <c r="DD115" i="4"/>
  <c r="DC115" i="4"/>
  <c r="DB115" i="4"/>
  <c r="DA115" i="4"/>
  <c r="CZ115" i="4"/>
  <c r="CW115" i="4"/>
  <c r="CV115" i="4"/>
  <c r="CU115" i="4"/>
  <c r="CT115" i="4"/>
  <c r="CS115" i="4"/>
  <c r="CP115" i="4"/>
  <c r="CM115" i="4"/>
  <c r="DH115" i="4" s="1"/>
  <c r="CD115" i="4"/>
  <c r="CC115" i="4"/>
  <c r="BW115" i="4"/>
  <c r="BV115" i="4"/>
  <c r="BP115" i="4"/>
  <c r="BM115" i="4"/>
  <c r="BM137" i="4" s="1"/>
  <c r="BL115" i="4"/>
  <c r="BK115" i="4"/>
  <c r="BJ115" i="4"/>
  <c r="BI115" i="4"/>
  <c r="BF115" i="4"/>
  <c r="BE115" i="4"/>
  <c r="BD115" i="4"/>
  <c r="BC115" i="4"/>
  <c r="BB115" i="4"/>
  <c r="AY115" i="4"/>
  <c r="AV115" i="4"/>
  <c r="AM115" i="4"/>
  <c r="AL115" i="4"/>
  <c r="AL133" i="4" s="1"/>
  <c r="AF115" i="4"/>
  <c r="AE115" i="4"/>
  <c r="Z115" i="4"/>
  <c r="BQ115" i="4" s="1"/>
  <c r="Q115" i="4"/>
  <c r="P115" i="4"/>
  <c r="I115" i="4"/>
  <c r="G115" i="4"/>
  <c r="DJ115" i="4" s="1"/>
  <c r="DH114" i="4"/>
  <c r="DG114" i="4"/>
  <c r="DF114" i="4"/>
  <c r="DD114" i="4"/>
  <c r="DC114" i="4"/>
  <c r="DB114" i="4"/>
  <c r="DA114" i="4"/>
  <c r="CZ114" i="4"/>
  <c r="CY114" i="4"/>
  <c r="CX114" i="4"/>
  <c r="CV114" i="4"/>
  <c r="CT114" i="4"/>
  <c r="CS114" i="4"/>
  <c r="CQ114" i="4"/>
  <c r="CP114" i="4"/>
  <c r="CM114" i="4"/>
  <c r="BV114" i="4"/>
  <c r="BS114" i="4" s="1"/>
  <c r="BP114" i="4"/>
  <c r="BM114" i="4"/>
  <c r="BL114" i="4"/>
  <c r="BK114" i="4"/>
  <c r="BJ114" i="4"/>
  <c r="BI114" i="4"/>
  <c r="BG114" i="4"/>
  <c r="BD114" i="4"/>
  <c r="BD137" i="4" s="1"/>
  <c r="BC114" i="4"/>
  <c r="BB114" i="4"/>
  <c r="BA114" i="4"/>
  <c r="AY114" i="4"/>
  <c r="AY137" i="4" s="1"/>
  <c r="AV114" i="4"/>
  <c r="BQ114" i="4" s="1"/>
  <c r="AE114" i="4"/>
  <c r="AB114" i="4"/>
  <c r="Z114" i="4"/>
  <c r="Q114" i="4"/>
  <c r="O114" i="4"/>
  <c r="BF114" i="4" s="1"/>
  <c r="N114" i="4"/>
  <c r="N133" i="4" s="1"/>
  <c r="M114" i="4"/>
  <c r="J114" i="4"/>
  <c r="I114" i="4"/>
  <c r="G114" i="4"/>
  <c r="DE113" i="4"/>
  <c r="CL113" i="4"/>
  <c r="CK113" i="4"/>
  <c r="CJ113" i="4"/>
  <c r="CG113" i="4"/>
  <c r="CF113" i="4"/>
  <c r="CE113" i="4"/>
  <c r="CD113" i="4"/>
  <c r="CC113" i="4"/>
  <c r="CB113" i="4"/>
  <c r="CA113" i="4"/>
  <c r="BZ113" i="4"/>
  <c r="BY113" i="4"/>
  <c r="BX113" i="4"/>
  <c r="BW113" i="4"/>
  <c r="BV113" i="4"/>
  <c r="BT113" i="4"/>
  <c r="BN113" i="4"/>
  <c r="BC113" i="4"/>
  <c r="AU113" i="4"/>
  <c r="AT113" i="4"/>
  <c r="AS113" i="4"/>
  <c r="AP113" i="4"/>
  <c r="AO113" i="4"/>
  <c r="AN113" i="4"/>
  <c r="AM113" i="4"/>
  <c r="AL113" i="4"/>
  <c r="AK113" i="4"/>
  <c r="AJ113" i="4"/>
  <c r="AI113" i="4"/>
  <c r="AH113" i="4"/>
  <c r="AG113" i="4"/>
  <c r="AF113" i="4"/>
  <c r="Y113" i="4"/>
  <c r="X113" i="4"/>
  <c r="W113" i="4"/>
  <c r="U113" i="4"/>
  <c r="T113" i="4"/>
  <c r="S113" i="4"/>
  <c r="R113" i="4"/>
  <c r="Q113" i="4"/>
  <c r="P113" i="4"/>
  <c r="O113" i="4"/>
  <c r="N113" i="4"/>
  <c r="M113" i="4"/>
  <c r="L113" i="4"/>
  <c r="K113" i="4"/>
  <c r="J113" i="4"/>
  <c r="I113" i="4"/>
  <c r="H113" i="4"/>
  <c r="CQ112" i="4"/>
  <c r="CO112" i="4" s="1"/>
  <c r="BS112" i="4"/>
  <c r="AZ112" i="4"/>
  <c r="AX112" i="4" s="1"/>
  <c r="AE112" i="4"/>
  <c r="AB112" i="4" s="1"/>
  <c r="AA112" i="4"/>
  <c r="AW112" i="4" s="1"/>
  <c r="G112" i="4"/>
  <c r="DJ112" i="4" s="1"/>
  <c r="DJ111" i="4"/>
  <c r="CQ111" i="4"/>
  <c r="CO111" i="4"/>
  <c r="BS111" i="4"/>
  <c r="DL111" i="4" s="1"/>
  <c r="AZ111" i="4"/>
  <c r="AX111" i="4"/>
  <c r="AW111" i="4"/>
  <c r="AB111" i="4"/>
  <c r="AA111" i="4" s="1"/>
  <c r="G111" i="4"/>
  <c r="CQ110" i="4"/>
  <c r="CO110" i="4"/>
  <c r="BS110" i="4"/>
  <c r="AZ110" i="4"/>
  <c r="AX110" i="4"/>
  <c r="AB110" i="4"/>
  <c r="DK110" i="4" s="1"/>
  <c r="G110" i="4"/>
  <c r="DJ110" i="4" s="1"/>
  <c r="DH109" i="4"/>
  <c r="DG109" i="4"/>
  <c r="DF109" i="4"/>
  <c r="DD109" i="4"/>
  <c r="DB109" i="4"/>
  <c r="DA109" i="4"/>
  <c r="CZ109" i="4"/>
  <c r="CY109" i="4"/>
  <c r="CX109" i="4"/>
  <c r="CW109" i="4"/>
  <c r="CV109" i="4"/>
  <c r="CU109" i="4"/>
  <c r="CT109" i="4"/>
  <c r="CS109" i="4"/>
  <c r="CR109" i="4"/>
  <c r="CQ109" i="4"/>
  <c r="CP109" i="4"/>
  <c r="CH109" i="4"/>
  <c r="BS109" i="4" s="1"/>
  <c r="BQ109" i="4"/>
  <c r="BP109" i="4"/>
  <c r="BM109" i="4"/>
  <c r="BK109" i="4"/>
  <c r="BJ109" i="4"/>
  <c r="BI109" i="4"/>
  <c r="BH109" i="4"/>
  <c r="BG109" i="4"/>
  <c r="BF109" i="4"/>
  <c r="BE109" i="4"/>
  <c r="BD109" i="4"/>
  <c r="BC109" i="4"/>
  <c r="BB109" i="4"/>
  <c r="BA109" i="4"/>
  <c r="AY109" i="4"/>
  <c r="AQ109" i="4"/>
  <c r="AB109" i="4" s="1"/>
  <c r="U109" i="4"/>
  <c r="BL109" i="4" s="1"/>
  <c r="I109" i="4"/>
  <c r="I145" i="4" s="1"/>
  <c r="DJ108" i="4"/>
  <c r="DH108" i="4"/>
  <c r="DG108" i="4"/>
  <c r="DF108" i="4"/>
  <c r="DC108" i="4"/>
  <c r="DB108" i="4"/>
  <c r="DA108" i="4"/>
  <c r="CZ108" i="4"/>
  <c r="CY108" i="4"/>
  <c r="CX108" i="4"/>
  <c r="CW108" i="4"/>
  <c r="CV108" i="4"/>
  <c r="CU108" i="4"/>
  <c r="CT108" i="4"/>
  <c r="CS108" i="4"/>
  <c r="CR108" i="4"/>
  <c r="CQ108" i="4"/>
  <c r="CP108" i="4"/>
  <c r="CI108" i="4"/>
  <c r="DD108" i="4" s="1"/>
  <c r="BS108" i="4"/>
  <c r="BQ108" i="4"/>
  <c r="BP108" i="4"/>
  <c r="BL108" i="4"/>
  <c r="BK108" i="4"/>
  <c r="BJ108" i="4"/>
  <c r="BI108" i="4"/>
  <c r="BH108" i="4"/>
  <c r="BG108" i="4"/>
  <c r="BF108" i="4"/>
  <c r="BE108" i="4"/>
  <c r="BD108" i="4"/>
  <c r="BC108" i="4"/>
  <c r="BB108" i="4"/>
  <c r="BA108" i="4"/>
  <c r="AZ108" i="4"/>
  <c r="AY108" i="4"/>
  <c r="AR108" i="4"/>
  <c r="AB108" i="4" s="1"/>
  <c r="AA108" i="4" s="1"/>
  <c r="AW108" i="4" s="1"/>
  <c r="G108" i="4"/>
  <c r="DJ107" i="4"/>
  <c r="DH107" i="4"/>
  <c r="DG107" i="4"/>
  <c r="DF107" i="4"/>
  <c r="DC107" i="4"/>
  <c r="DB107" i="4"/>
  <c r="DA107" i="4"/>
  <c r="CZ107" i="4"/>
  <c r="CY107" i="4"/>
  <c r="CX107" i="4"/>
  <c r="CW107" i="4"/>
  <c r="CV107" i="4"/>
  <c r="CU107" i="4"/>
  <c r="CT107" i="4"/>
  <c r="CS107" i="4"/>
  <c r="CR107" i="4"/>
  <c r="CQ107" i="4"/>
  <c r="CP107" i="4"/>
  <c r="CI107" i="4"/>
  <c r="BS107" i="4" s="1"/>
  <c r="BR107" i="4" s="1"/>
  <c r="CN107" i="4" s="1"/>
  <c r="BQ107" i="4"/>
  <c r="BP107" i="4"/>
  <c r="BM107" i="4"/>
  <c r="BL107" i="4"/>
  <c r="BK107" i="4"/>
  <c r="BJ107" i="4"/>
  <c r="BI107" i="4"/>
  <c r="BH107" i="4"/>
  <c r="BG107" i="4"/>
  <c r="BF107" i="4"/>
  <c r="BE107" i="4"/>
  <c r="BD107" i="4"/>
  <c r="BC107" i="4"/>
  <c r="BB107" i="4"/>
  <c r="BA107" i="4"/>
  <c r="AZ107" i="4"/>
  <c r="AY107" i="4"/>
  <c r="AR107" i="4"/>
  <c r="AB107" i="4"/>
  <c r="AA107" i="4"/>
  <c r="AW107" i="4" s="1"/>
  <c r="G107" i="4"/>
  <c r="DH106" i="4"/>
  <c r="DG106" i="4"/>
  <c r="DF106" i="4"/>
  <c r="DD106" i="4"/>
  <c r="DC106" i="4"/>
  <c r="DB106" i="4"/>
  <c r="DA106" i="4"/>
  <c r="DA113" i="4" s="1"/>
  <c r="CZ106" i="4"/>
  <c r="CY106" i="4"/>
  <c r="CX106" i="4"/>
  <c r="CW106" i="4"/>
  <c r="CV106" i="4"/>
  <c r="CU106" i="4"/>
  <c r="CT106" i="4"/>
  <c r="CS106" i="4"/>
  <c r="CR106" i="4"/>
  <c r="CQ106" i="4"/>
  <c r="CI106" i="4"/>
  <c r="BU106" i="4"/>
  <c r="BS106" i="4"/>
  <c r="BR106" i="4" s="1"/>
  <c r="CN106" i="4" s="1"/>
  <c r="BQ106" i="4"/>
  <c r="BP106" i="4"/>
  <c r="BM106" i="4"/>
  <c r="BL106" i="4"/>
  <c r="BK106" i="4"/>
  <c r="BJ106" i="4"/>
  <c r="BI106" i="4"/>
  <c r="BH106" i="4"/>
  <c r="BG106" i="4"/>
  <c r="BF106" i="4"/>
  <c r="BE106" i="4"/>
  <c r="BD106" i="4"/>
  <c r="BC106" i="4"/>
  <c r="BA106" i="4"/>
  <c r="AR106" i="4"/>
  <c r="AG106" i="4"/>
  <c r="AG145" i="4" s="1"/>
  <c r="AE106" i="4"/>
  <c r="AD106" i="4"/>
  <c r="V106" i="4"/>
  <c r="G106" i="4"/>
  <c r="DJ106" i="4" s="1"/>
  <c r="DG105" i="4"/>
  <c r="DF105" i="4"/>
  <c r="DC105" i="4"/>
  <c r="DB105" i="4"/>
  <c r="DA105" i="4"/>
  <c r="CZ105" i="4"/>
  <c r="CY105" i="4"/>
  <c r="CX105" i="4"/>
  <c r="CW105" i="4"/>
  <c r="CV105" i="4"/>
  <c r="CU105" i="4"/>
  <c r="CT105" i="4"/>
  <c r="CS105" i="4"/>
  <c r="CR105" i="4"/>
  <c r="CQ105" i="4"/>
  <c r="CP105" i="4"/>
  <c r="CM105" i="4"/>
  <c r="DH105" i="4" s="1"/>
  <c r="CI105" i="4"/>
  <c r="BS105" i="4" s="1"/>
  <c r="BP105" i="4"/>
  <c r="BL105" i="4"/>
  <c r="BK105" i="4"/>
  <c r="BJ105" i="4"/>
  <c r="BI105" i="4"/>
  <c r="BH105" i="4"/>
  <c r="BG105" i="4"/>
  <c r="BF105" i="4"/>
  <c r="BE105" i="4"/>
  <c r="BD105" i="4"/>
  <c r="BC105" i="4"/>
  <c r="BB105" i="4"/>
  <c r="BA105" i="4"/>
  <c r="AZ105" i="4"/>
  <c r="AY105" i="4"/>
  <c r="AV105" i="4"/>
  <c r="BQ105" i="4" s="1"/>
  <c r="AR105" i="4"/>
  <c r="BM105" i="4" s="1"/>
  <c r="Z105" i="4"/>
  <c r="V105" i="4"/>
  <c r="G105" i="4"/>
  <c r="DJ105" i="4" s="1"/>
  <c r="DG104" i="4"/>
  <c r="DF104" i="4"/>
  <c r="DC104" i="4"/>
  <c r="DB104" i="4"/>
  <c r="DA104" i="4"/>
  <c r="CZ104" i="4"/>
  <c r="CY104" i="4"/>
  <c r="CX104" i="4"/>
  <c r="CW104" i="4"/>
  <c r="CV104" i="4"/>
  <c r="CU104" i="4"/>
  <c r="CT104" i="4"/>
  <c r="CS104" i="4"/>
  <c r="CR104" i="4"/>
  <c r="CQ104" i="4"/>
  <c r="CP104" i="4"/>
  <c r="CM104" i="4"/>
  <c r="CI104" i="4" s="1"/>
  <c r="BP104" i="4"/>
  <c r="BL104" i="4"/>
  <c r="BK104" i="4"/>
  <c r="BJ104" i="4"/>
  <c r="BI104" i="4"/>
  <c r="BH104" i="4"/>
  <c r="BG104" i="4"/>
  <c r="BF104" i="4"/>
  <c r="BE104" i="4"/>
  <c r="BD104" i="4"/>
  <c r="BC104" i="4"/>
  <c r="BB104" i="4"/>
  <c r="BA104" i="4"/>
  <c r="AZ104" i="4"/>
  <c r="AY104" i="4"/>
  <c r="AV104" i="4"/>
  <c r="AR104" i="4"/>
  <c r="AB104" i="4" s="1"/>
  <c r="Z104" i="4"/>
  <c r="G104" i="4" s="1"/>
  <c r="DH103" i="4"/>
  <c r="DG103" i="4"/>
  <c r="DF103" i="4"/>
  <c r="DC103" i="4"/>
  <c r="DB103" i="4"/>
  <c r="DA103" i="4"/>
  <c r="CZ103" i="4"/>
  <c r="CY103" i="4"/>
  <c r="CX103" i="4"/>
  <c r="CW103" i="4"/>
  <c r="CV103" i="4"/>
  <c r="CU103" i="4"/>
  <c r="CT103" i="4"/>
  <c r="CS103" i="4"/>
  <c r="CR103" i="4"/>
  <c r="CQ103" i="4"/>
  <c r="CP103" i="4"/>
  <c r="CI103" i="4"/>
  <c r="BS103" i="4" s="1"/>
  <c r="CH103" i="4"/>
  <c r="BQ103" i="4"/>
  <c r="BP103" i="4"/>
  <c r="BK103" i="4"/>
  <c r="BJ103" i="4"/>
  <c r="BI103" i="4"/>
  <c r="BH103" i="4"/>
  <c r="BG103" i="4"/>
  <c r="BF103" i="4"/>
  <c r="BE103" i="4"/>
  <c r="BE113" i="4" s="1"/>
  <c r="BD103" i="4"/>
  <c r="BC103" i="4"/>
  <c r="BB103" i="4"/>
  <c r="BA103" i="4"/>
  <c r="AZ103" i="4"/>
  <c r="AY103" i="4"/>
  <c r="AR103" i="4"/>
  <c r="BM103" i="4" s="1"/>
  <c r="AQ103" i="4"/>
  <c r="Z103" i="4"/>
  <c r="V103" i="4"/>
  <c r="G103" i="4" s="1"/>
  <c r="DJ103" i="4" s="1"/>
  <c r="DH102" i="4"/>
  <c r="DG102" i="4"/>
  <c r="DF102" i="4"/>
  <c r="DC102" i="4"/>
  <c r="DB102" i="4"/>
  <c r="DA102" i="4"/>
  <c r="CZ102" i="4"/>
  <c r="CY102" i="4"/>
  <c r="CX102" i="4"/>
  <c r="CW102" i="4"/>
  <c r="CV102" i="4"/>
  <c r="CU102" i="4"/>
  <c r="CT102" i="4"/>
  <c r="CS102" i="4"/>
  <c r="CR102" i="4"/>
  <c r="CQ102" i="4"/>
  <c r="CP102" i="4"/>
  <c r="CI102" i="4"/>
  <c r="DD102" i="4" s="1"/>
  <c r="BQ102" i="4"/>
  <c r="BP102" i="4"/>
  <c r="BO102" i="4"/>
  <c r="BL102" i="4"/>
  <c r="BK102" i="4"/>
  <c r="BJ102" i="4"/>
  <c r="BI102" i="4"/>
  <c r="BH102" i="4"/>
  <c r="BG102" i="4"/>
  <c r="BF102" i="4"/>
  <c r="BE102" i="4"/>
  <c r="BD102" i="4"/>
  <c r="BC102" i="4"/>
  <c r="BB102" i="4"/>
  <c r="BA102" i="4"/>
  <c r="AZ102" i="4"/>
  <c r="AY102" i="4"/>
  <c r="AR102" i="4"/>
  <c r="G102" i="4"/>
  <c r="DH101" i="4"/>
  <c r="DG101" i="4"/>
  <c r="DF101" i="4"/>
  <c r="DC101" i="4"/>
  <c r="DB101" i="4"/>
  <c r="DA101" i="4"/>
  <c r="CZ101" i="4"/>
  <c r="CY101" i="4"/>
  <c r="CX101" i="4"/>
  <c r="CW101" i="4"/>
  <c r="CV101" i="4"/>
  <c r="CU101" i="4"/>
  <c r="CT101" i="4"/>
  <c r="CS101" i="4"/>
  <c r="CR101" i="4"/>
  <c r="CQ101" i="4"/>
  <c r="CP101" i="4"/>
  <c r="BS101" i="4"/>
  <c r="BR101" i="4"/>
  <c r="CN101" i="4" s="1"/>
  <c r="BQ101" i="4"/>
  <c r="BP101" i="4"/>
  <c r="BL101" i="4"/>
  <c r="BK101" i="4"/>
  <c r="BJ101" i="4"/>
  <c r="BI101" i="4"/>
  <c r="BH101" i="4"/>
  <c r="BG101" i="4"/>
  <c r="BF101" i="4"/>
  <c r="BE101" i="4"/>
  <c r="BD101" i="4"/>
  <c r="BC101" i="4"/>
  <c r="BB101" i="4"/>
  <c r="BA101" i="4"/>
  <c r="AZ101" i="4"/>
  <c r="AY101" i="4"/>
  <c r="AB101" i="4"/>
  <c r="AA101" i="4" s="1"/>
  <c r="AW101" i="4" s="1"/>
  <c r="V101" i="4"/>
  <c r="G101" i="4"/>
  <c r="DJ101" i="4" s="1"/>
  <c r="DH100" i="4"/>
  <c r="DG100" i="4"/>
  <c r="DF100" i="4"/>
  <c r="DB100" i="4"/>
  <c r="DA100" i="4"/>
  <c r="CZ100" i="4"/>
  <c r="CY100" i="4"/>
  <c r="CX100" i="4"/>
  <c r="CW100" i="4"/>
  <c r="CV100" i="4"/>
  <c r="CU100" i="4"/>
  <c r="CT100" i="4"/>
  <c r="CS100" i="4"/>
  <c r="CR100" i="4"/>
  <c r="CQ100" i="4"/>
  <c r="CP100" i="4"/>
  <c r="CI100" i="4"/>
  <c r="DD100" i="4" s="1"/>
  <c r="CH100" i="4"/>
  <c r="DC100" i="4" s="1"/>
  <c r="BQ100" i="4"/>
  <c r="BP100" i="4"/>
  <c r="BK100" i="4"/>
  <c r="BJ100" i="4"/>
  <c r="BI100" i="4"/>
  <c r="BH100" i="4"/>
  <c r="BG100" i="4"/>
  <c r="BF100" i="4"/>
  <c r="BE100" i="4"/>
  <c r="BD100" i="4"/>
  <c r="BC100" i="4"/>
  <c r="BB100" i="4"/>
  <c r="BA100" i="4"/>
  <c r="AZ100" i="4"/>
  <c r="AY100" i="4"/>
  <c r="AR100" i="4"/>
  <c r="BM100" i="4" s="1"/>
  <c r="AQ100" i="4"/>
  <c r="U100" i="4"/>
  <c r="G100" i="4"/>
  <c r="DJ100" i="4" s="1"/>
  <c r="DH99" i="4"/>
  <c r="DG99" i="4"/>
  <c r="DF99" i="4"/>
  <c r="DC99" i="4"/>
  <c r="DB99" i="4"/>
  <c r="DA99" i="4"/>
  <c r="CZ99" i="4"/>
  <c r="CY99" i="4"/>
  <c r="CX99" i="4"/>
  <c r="CW99" i="4"/>
  <c r="CV99" i="4"/>
  <c r="CU99" i="4"/>
  <c r="CT99" i="4"/>
  <c r="CS99" i="4"/>
  <c r="CR99" i="4"/>
  <c r="CQ99" i="4"/>
  <c r="CP99" i="4"/>
  <c r="CI99" i="4"/>
  <c r="DD99" i="4" s="1"/>
  <c r="BQ99" i="4"/>
  <c r="BP99" i="4"/>
  <c r="BL99" i="4"/>
  <c r="BK99" i="4"/>
  <c r="BJ99" i="4"/>
  <c r="BI99" i="4"/>
  <c r="BH99" i="4"/>
  <c r="BG99" i="4"/>
  <c r="BF99" i="4"/>
  <c r="BE99" i="4"/>
  <c r="BD99" i="4"/>
  <c r="BC99" i="4"/>
  <c r="BB99" i="4"/>
  <c r="BA99" i="4"/>
  <c r="AZ99" i="4"/>
  <c r="AY99" i="4"/>
  <c r="AR99" i="4"/>
  <c r="AB99" i="4" s="1"/>
  <c r="G99" i="4"/>
  <c r="DJ99" i="4" s="1"/>
  <c r="DG98" i="4"/>
  <c r="DF98" i="4"/>
  <c r="DC98" i="4"/>
  <c r="DB98" i="4"/>
  <c r="DA98" i="4"/>
  <c r="CZ98" i="4"/>
  <c r="CY98" i="4"/>
  <c r="CX98" i="4"/>
  <c r="CW98" i="4"/>
  <c r="CV98" i="4"/>
  <c r="CU98" i="4"/>
  <c r="CT98" i="4"/>
  <c r="CS98" i="4"/>
  <c r="CR98" i="4"/>
  <c r="CQ98" i="4"/>
  <c r="CP98" i="4"/>
  <c r="CM98" i="4"/>
  <c r="BP98" i="4"/>
  <c r="BL98" i="4"/>
  <c r="BK98" i="4"/>
  <c r="BJ98" i="4"/>
  <c r="BI98" i="4"/>
  <c r="BH98" i="4"/>
  <c r="BG98" i="4"/>
  <c r="BF98" i="4"/>
  <c r="BE98" i="4"/>
  <c r="BD98" i="4"/>
  <c r="BC98" i="4"/>
  <c r="BB98" i="4"/>
  <c r="BA98" i="4"/>
  <c r="AZ98" i="4"/>
  <c r="AY98" i="4"/>
  <c r="AV98" i="4"/>
  <c r="AR98" i="4"/>
  <c r="AB98" i="4"/>
  <c r="Z98" i="4"/>
  <c r="V98" i="4"/>
  <c r="DH97" i="4"/>
  <c r="DG97" i="4"/>
  <c r="DF97" i="4"/>
  <c r="DC97" i="4"/>
  <c r="DB97" i="4"/>
  <c r="DB113" i="4" s="1"/>
  <c r="DA97" i="4"/>
  <c r="CZ97" i="4"/>
  <c r="CY97" i="4"/>
  <c r="CX97" i="4"/>
  <c r="CW97" i="4"/>
  <c r="CV97" i="4"/>
  <c r="CU97" i="4"/>
  <c r="CT97" i="4"/>
  <c r="CS97" i="4"/>
  <c r="CR97" i="4"/>
  <c r="CQ97" i="4"/>
  <c r="CP97" i="4"/>
  <c r="CI97" i="4"/>
  <c r="DD97" i="4" s="1"/>
  <c r="BQ97" i="4"/>
  <c r="BP97" i="4"/>
  <c r="BL97" i="4"/>
  <c r="BK97" i="4"/>
  <c r="BJ97" i="4"/>
  <c r="BI97" i="4"/>
  <c r="BH97" i="4"/>
  <c r="BG97" i="4"/>
  <c r="BF97" i="4"/>
  <c r="BE97" i="4"/>
  <c r="BD97" i="4"/>
  <c r="BC97" i="4"/>
  <c r="BB97" i="4"/>
  <c r="BA97" i="4"/>
  <c r="AZ97" i="4"/>
  <c r="AY97" i="4"/>
  <c r="AR97" i="4"/>
  <c r="AB97" i="4" s="1"/>
  <c r="V97" i="4"/>
  <c r="DH96" i="4"/>
  <c r="DG96" i="4"/>
  <c r="DF96" i="4"/>
  <c r="DC96" i="4"/>
  <c r="DB96" i="4"/>
  <c r="DA96" i="4"/>
  <c r="CZ96" i="4"/>
  <c r="CY96" i="4"/>
  <c r="CX96" i="4"/>
  <c r="CW96" i="4"/>
  <c r="CV96" i="4"/>
  <c r="CU96" i="4"/>
  <c r="CT96" i="4"/>
  <c r="CS96" i="4"/>
  <c r="CR96" i="4"/>
  <c r="CQ96" i="4"/>
  <c r="CP96" i="4"/>
  <c r="CI96" i="4"/>
  <c r="DD96" i="4" s="1"/>
  <c r="BQ96" i="4"/>
  <c r="BP96" i="4"/>
  <c r="BL96" i="4"/>
  <c r="BK96" i="4"/>
  <c r="BJ96" i="4"/>
  <c r="BI96" i="4"/>
  <c r="BH96" i="4"/>
  <c r="BG96" i="4"/>
  <c r="BF96" i="4"/>
  <c r="BE96" i="4"/>
  <c r="BD96" i="4"/>
  <c r="BC96" i="4"/>
  <c r="BB96" i="4"/>
  <c r="BA96" i="4"/>
  <c r="AZ96" i="4"/>
  <c r="AY96" i="4"/>
  <c r="AR96" i="4"/>
  <c r="AB96" i="4" s="1"/>
  <c r="AA96" i="4" s="1"/>
  <c r="AW96" i="4" s="1"/>
  <c r="V96" i="4"/>
  <c r="G96" i="4"/>
  <c r="DJ96" i="4" s="1"/>
  <c r="DJ95" i="4"/>
  <c r="DH95" i="4"/>
  <c r="DG95" i="4"/>
  <c r="DF95" i="4"/>
  <c r="DF113" i="4" s="1"/>
  <c r="DC95" i="4"/>
  <c r="DB95" i="4"/>
  <c r="DA95" i="4"/>
  <c r="CZ95" i="4"/>
  <c r="CY95" i="4"/>
  <c r="CX95" i="4"/>
  <c r="CW95" i="4"/>
  <c r="CV95" i="4"/>
  <c r="CU95" i="4"/>
  <c r="CT95" i="4"/>
  <c r="CS95" i="4"/>
  <c r="CR95" i="4"/>
  <c r="CQ95" i="4"/>
  <c r="CP95" i="4"/>
  <c r="CI95" i="4"/>
  <c r="BQ95" i="4"/>
  <c r="BP95" i="4"/>
  <c r="BL95" i="4"/>
  <c r="BK95" i="4"/>
  <c r="BJ95" i="4"/>
  <c r="BI95" i="4"/>
  <c r="BH95" i="4"/>
  <c r="BH113" i="4" s="1"/>
  <c r="BG95" i="4"/>
  <c r="BF95" i="4"/>
  <c r="BE95" i="4"/>
  <c r="BD95" i="4"/>
  <c r="BC95" i="4"/>
  <c r="BC145" i="4" s="1"/>
  <c r="BB95" i="4"/>
  <c r="BA95" i="4"/>
  <c r="AZ95" i="4"/>
  <c r="AY95" i="4"/>
  <c r="AR95" i="4"/>
  <c r="BM95" i="4" s="1"/>
  <c r="V95" i="4"/>
  <c r="V113" i="4" s="1"/>
  <c r="G95" i="4"/>
  <c r="DL94" i="4"/>
  <c r="DK94" i="4"/>
  <c r="DJ94" i="4"/>
  <c r="DG93" i="4"/>
  <c r="DE93" i="4"/>
  <c r="CL93" i="4"/>
  <c r="CK93" i="4"/>
  <c r="CI93" i="4"/>
  <c r="CH93" i="4"/>
  <c r="CG93" i="4"/>
  <c r="CD93" i="4"/>
  <c r="CC93" i="4"/>
  <c r="CB93" i="4"/>
  <c r="CA93" i="4"/>
  <c r="BZ93" i="4"/>
  <c r="BW93" i="4"/>
  <c r="BV93" i="4"/>
  <c r="BU93" i="4"/>
  <c r="BT93" i="4"/>
  <c r="BN93" i="4"/>
  <c r="AU93" i="4"/>
  <c r="AT93" i="4"/>
  <c r="AS93" i="4"/>
  <c r="AR93" i="4"/>
  <c r="AQ93" i="4"/>
  <c r="AP93" i="4"/>
  <c r="AM93" i="4"/>
  <c r="AL93" i="4"/>
  <c r="AK93" i="4"/>
  <c r="AJ93" i="4"/>
  <c r="AI93" i="4"/>
  <c r="AF93" i="4"/>
  <c r="AE93" i="4"/>
  <c r="AD93" i="4"/>
  <c r="Y93" i="4"/>
  <c r="X93" i="4"/>
  <c r="W93" i="4"/>
  <c r="V93" i="4"/>
  <c r="U93" i="4"/>
  <c r="T93" i="4"/>
  <c r="S93" i="4"/>
  <c r="R93" i="4"/>
  <c r="Q93" i="4"/>
  <c r="P93" i="4"/>
  <c r="O93" i="4"/>
  <c r="N93" i="4"/>
  <c r="M93" i="4"/>
  <c r="J93" i="4"/>
  <c r="I93" i="4"/>
  <c r="H93" i="4"/>
  <c r="DG92" i="4"/>
  <c r="DF92" i="4"/>
  <c r="DD92" i="4"/>
  <c r="DC92" i="4"/>
  <c r="DB92" i="4"/>
  <c r="DA92" i="4"/>
  <c r="CZ92" i="4"/>
  <c r="CY92" i="4"/>
  <c r="CX92" i="4"/>
  <c r="CW92" i="4"/>
  <c r="CV92" i="4"/>
  <c r="CU92" i="4"/>
  <c r="CT92" i="4"/>
  <c r="CS92" i="4"/>
  <c r="CR92" i="4"/>
  <c r="CQ92" i="4"/>
  <c r="CP92" i="4"/>
  <c r="CM92" i="4"/>
  <c r="BS92" i="4" s="1"/>
  <c r="BP92" i="4"/>
  <c r="BO92" i="4"/>
  <c r="BM92" i="4"/>
  <c r="BL92" i="4"/>
  <c r="BK92" i="4"/>
  <c r="BJ92" i="4"/>
  <c r="BI92" i="4"/>
  <c r="BH92" i="4"/>
  <c r="BG92" i="4"/>
  <c r="BF92" i="4"/>
  <c r="BE92" i="4"/>
  <c r="BD92" i="4"/>
  <c r="BC92" i="4"/>
  <c r="BB92" i="4"/>
  <c r="BA92" i="4"/>
  <c r="AZ92" i="4"/>
  <c r="AY92" i="4"/>
  <c r="AV92" i="4"/>
  <c r="AB92" i="4" s="1"/>
  <c r="Z92" i="4"/>
  <c r="DH91" i="4"/>
  <c r="DG91" i="4"/>
  <c r="DF91" i="4"/>
  <c r="DD91" i="4"/>
  <c r="DC91" i="4"/>
  <c r="DB91" i="4"/>
  <c r="CZ91" i="4"/>
  <c r="CY91" i="4"/>
  <c r="CX91" i="4"/>
  <c r="CW91" i="4"/>
  <c r="CV91" i="4"/>
  <c r="CU91" i="4"/>
  <c r="CT91" i="4"/>
  <c r="CS91" i="4"/>
  <c r="CR91" i="4"/>
  <c r="CQ91" i="4"/>
  <c r="CP91" i="4"/>
  <c r="BX91" i="4"/>
  <c r="CF91" i="4" s="1"/>
  <c r="BS91" i="4" s="1"/>
  <c r="BQ91" i="4"/>
  <c r="BP91" i="4"/>
  <c r="BO91" i="4"/>
  <c r="BM91" i="4"/>
  <c r="BL91" i="4"/>
  <c r="BK91" i="4"/>
  <c r="BI91" i="4"/>
  <c r="BH91" i="4"/>
  <c r="BG91" i="4"/>
  <c r="BF91" i="4"/>
  <c r="BE91" i="4"/>
  <c r="BD91" i="4"/>
  <c r="BC91" i="4"/>
  <c r="BA91" i="4"/>
  <c r="AZ91" i="4"/>
  <c r="AY91" i="4"/>
  <c r="AO91" i="4"/>
  <c r="AG91" i="4"/>
  <c r="S91" i="4"/>
  <c r="DJ90" i="4"/>
  <c r="DH90" i="4"/>
  <c r="DG90" i="4"/>
  <c r="DF90" i="4"/>
  <c r="DD90" i="4"/>
  <c r="DC90" i="4"/>
  <c r="DB90" i="4"/>
  <c r="DA90" i="4"/>
  <c r="CZ90" i="4"/>
  <c r="CY90" i="4"/>
  <c r="CX90" i="4"/>
  <c r="CW90" i="4"/>
  <c r="CV90" i="4"/>
  <c r="CU90" i="4"/>
  <c r="CT90" i="4"/>
  <c r="CS90" i="4"/>
  <c r="CR90" i="4"/>
  <c r="CQ90" i="4"/>
  <c r="CP90" i="4"/>
  <c r="BX90" i="4"/>
  <c r="BS90" i="4" s="1"/>
  <c r="BR90" i="4" s="1"/>
  <c r="CN90" i="4" s="1"/>
  <c r="BQ90" i="4"/>
  <c r="BP90" i="4"/>
  <c r="BM90" i="4"/>
  <c r="BL90" i="4"/>
  <c r="BK90" i="4"/>
  <c r="BJ90" i="4"/>
  <c r="BI90" i="4"/>
  <c r="BH90" i="4"/>
  <c r="BG90" i="4"/>
  <c r="BF90" i="4"/>
  <c r="BE90" i="4"/>
  <c r="BD90" i="4"/>
  <c r="BC90" i="4"/>
  <c r="BA90" i="4"/>
  <c r="AZ90" i="4"/>
  <c r="AY90" i="4"/>
  <c r="AG90" i="4"/>
  <c r="Z90" i="4"/>
  <c r="G90" i="4"/>
  <c r="DJ89" i="4"/>
  <c r="DH89" i="4"/>
  <c r="DG89" i="4"/>
  <c r="DF89" i="4"/>
  <c r="DD89" i="4"/>
  <c r="DC89" i="4"/>
  <c r="DB89" i="4"/>
  <c r="DA89" i="4"/>
  <c r="CZ89" i="4"/>
  <c r="CY89" i="4"/>
  <c r="CX89" i="4"/>
  <c r="CW89" i="4"/>
  <c r="CV89" i="4"/>
  <c r="CU89" i="4"/>
  <c r="CT89" i="4"/>
  <c r="CS89" i="4"/>
  <c r="CR89" i="4"/>
  <c r="CQ89" i="4"/>
  <c r="CP89" i="4"/>
  <c r="BX89" i="4"/>
  <c r="BS89" i="4" s="1"/>
  <c r="BR89" i="4" s="1"/>
  <c r="CN89" i="4" s="1"/>
  <c r="BQ89" i="4"/>
  <c r="BP89" i="4"/>
  <c r="BM89" i="4"/>
  <c r="BL89" i="4"/>
  <c r="BK89" i="4"/>
  <c r="BJ89" i="4"/>
  <c r="BI89" i="4"/>
  <c r="BH89" i="4"/>
  <c r="BG89" i="4"/>
  <c r="BF89" i="4"/>
  <c r="BE89" i="4"/>
  <c r="BD89" i="4"/>
  <c r="BC89" i="4"/>
  <c r="BA89" i="4"/>
  <c r="AZ89" i="4"/>
  <c r="AY89" i="4"/>
  <c r="AG89" i="4"/>
  <c r="AB89" i="4" s="1"/>
  <c r="G89" i="4"/>
  <c r="AA89" i="4" s="1"/>
  <c r="AW89" i="4" s="1"/>
  <c r="DH88" i="4"/>
  <c r="DG88" i="4"/>
  <c r="DF88" i="4"/>
  <c r="DD88" i="4"/>
  <c r="DC88" i="4"/>
  <c r="DB88" i="4"/>
  <c r="DA88" i="4"/>
  <c r="CZ88" i="4"/>
  <c r="CY88" i="4"/>
  <c r="CX88" i="4"/>
  <c r="CW88" i="4"/>
  <c r="CV88" i="4"/>
  <c r="CU88" i="4"/>
  <c r="CT88" i="4"/>
  <c r="CS88" i="4"/>
  <c r="CR88" i="4"/>
  <c r="CQ88" i="4"/>
  <c r="CP88" i="4"/>
  <c r="BX88" i="4"/>
  <c r="BS88" i="4"/>
  <c r="BQ88" i="4"/>
  <c r="BP88" i="4"/>
  <c r="BM88" i="4"/>
  <c r="BL88" i="4"/>
  <c r="BK88" i="4"/>
  <c r="BJ88" i="4"/>
  <c r="BI88" i="4"/>
  <c r="BH88" i="4"/>
  <c r="BG88" i="4"/>
  <c r="BF88" i="4"/>
  <c r="BE88" i="4"/>
  <c r="BD88" i="4"/>
  <c r="BC88" i="4"/>
  <c r="BA88" i="4"/>
  <c r="AZ88" i="4"/>
  <c r="AX88" i="4" s="1"/>
  <c r="AY88" i="4"/>
  <c r="AG88" i="4"/>
  <c r="BB88" i="4" s="1"/>
  <c r="AB88" i="4"/>
  <c r="G88" i="4"/>
  <c r="DJ88" i="4" s="1"/>
  <c r="DJ87" i="4"/>
  <c r="DH87" i="4"/>
  <c r="DG87" i="4"/>
  <c r="DF87" i="4"/>
  <c r="DD87" i="4"/>
  <c r="DC87" i="4"/>
  <c r="DB87" i="4"/>
  <c r="DA87" i="4"/>
  <c r="CZ87" i="4"/>
  <c r="CY87" i="4"/>
  <c r="CX87" i="4"/>
  <c r="CW87" i="4"/>
  <c r="CV87" i="4"/>
  <c r="CU87" i="4"/>
  <c r="CT87" i="4"/>
  <c r="CS87" i="4"/>
  <c r="CR87" i="4"/>
  <c r="CO87" i="4" s="1"/>
  <c r="CQ87" i="4"/>
  <c r="CP87" i="4"/>
  <c r="BS87" i="4"/>
  <c r="BQ87" i="4"/>
  <c r="BP87" i="4"/>
  <c r="BO87" i="4"/>
  <c r="BM87" i="4"/>
  <c r="BL87" i="4"/>
  <c r="BK87" i="4"/>
  <c r="BJ87" i="4"/>
  <c r="BI87" i="4"/>
  <c r="BH87" i="4"/>
  <c r="BG87" i="4"/>
  <c r="BF87" i="4"/>
  <c r="BE87" i="4"/>
  <c r="BD87" i="4"/>
  <c r="BC87" i="4"/>
  <c r="BB87" i="4"/>
  <c r="BA87" i="4"/>
  <c r="AZ87" i="4"/>
  <c r="AY87" i="4"/>
  <c r="AB87" i="4"/>
  <c r="G87" i="4"/>
  <c r="DJ86" i="4"/>
  <c r="DH86" i="4"/>
  <c r="DG86" i="4"/>
  <c r="DF86" i="4"/>
  <c r="DD86" i="4"/>
  <c r="DC86" i="4"/>
  <c r="DB86" i="4"/>
  <c r="DA86" i="4"/>
  <c r="CZ86" i="4"/>
  <c r="CY86" i="4"/>
  <c r="CX86" i="4"/>
  <c r="CW86" i="4"/>
  <c r="CV86" i="4"/>
  <c r="CU86" i="4"/>
  <c r="CT86" i="4"/>
  <c r="CS86" i="4"/>
  <c r="CR86" i="4"/>
  <c r="CQ86" i="4"/>
  <c r="CP86" i="4"/>
  <c r="BX86" i="4"/>
  <c r="BS86" i="4"/>
  <c r="BR86" i="4" s="1"/>
  <c r="CN86" i="4" s="1"/>
  <c r="BQ86" i="4"/>
  <c r="BP86" i="4"/>
  <c r="BM86" i="4"/>
  <c r="BL86" i="4"/>
  <c r="BK86" i="4"/>
  <c r="BJ86" i="4"/>
  <c r="BI86" i="4"/>
  <c r="BH86" i="4"/>
  <c r="BG86" i="4"/>
  <c r="BF86" i="4"/>
  <c r="BE86" i="4"/>
  <c r="BD86" i="4"/>
  <c r="BC86" i="4"/>
  <c r="BA86" i="4"/>
  <c r="AZ86" i="4"/>
  <c r="AY86" i="4"/>
  <c r="AG86" i="4"/>
  <c r="AB86" i="4" s="1"/>
  <c r="AA86" i="4" s="1"/>
  <c r="AW86" i="4" s="1"/>
  <c r="G86" i="4"/>
  <c r="DH85" i="4"/>
  <c r="DG85" i="4"/>
  <c r="DF85" i="4"/>
  <c r="DD85" i="4"/>
  <c r="DC85" i="4"/>
  <c r="DB85" i="4"/>
  <c r="CZ85" i="4"/>
  <c r="CY85" i="4"/>
  <c r="CX85" i="4"/>
  <c r="CW85" i="4"/>
  <c r="CV85" i="4"/>
  <c r="CU85" i="4"/>
  <c r="CT85" i="4"/>
  <c r="CS85" i="4"/>
  <c r="CR85" i="4"/>
  <c r="CQ85" i="4"/>
  <c r="CP85" i="4"/>
  <c r="CF85" i="4"/>
  <c r="BQ85" i="4"/>
  <c r="BP85" i="4"/>
  <c r="BO85" i="4"/>
  <c r="BM85" i="4"/>
  <c r="BL85" i="4"/>
  <c r="BK85" i="4"/>
  <c r="BI85" i="4"/>
  <c r="BH85" i="4"/>
  <c r="BG85" i="4"/>
  <c r="BF85" i="4"/>
  <c r="BE85" i="4"/>
  <c r="BD85" i="4"/>
  <c r="BC85" i="4"/>
  <c r="BA85" i="4"/>
  <c r="AZ85" i="4"/>
  <c r="AY85" i="4"/>
  <c r="AO85" i="4"/>
  <c r="BJ85" i="4" s="1"/>
  <c r="AG85" i="4"/>
  <c r="BB85" i="4" s="1"/>
  <c r="G85" i="4"/>
  <c r="DJ85" i="4" s="1"/>
  <c r="DH84" i="4"/>
  <c r="DG84" i="4"/>
  <c r="DF84" i="4"/>
  <c r="DD84" i="4"/>
  <c r="DC84" i="4"/>
  <c r="DB84" i="4"/>
  <c r="CZ84" i="4"/>
  <c r="CY84" i="4"/>
  <c r="CX84" i="4"/>
  <c r="CW84" i="4"/>
  <c r="CV84" i="4"/>
  <c r="CU84" i="4"/>
  <c r="CT84" i="4"/>
  <c r="CS84" i="4"/>
  <c r="CR84" i="4"/>
  <c r="CQ84" i="4"/>
  <c r="CP84" i="4"/>
  <c r="BS84" i="4"/>
  <c r="BQ84" i="4"/>
  <c r="BP84" i="4"/>
  <c r="BM84" i="4"/>
  <c r="BL84" i="4"/>
  <c r="BK84" i="4"/>
  <c r="BJ84" i="4"/>
  <c r="BI84" i="4"/>
  <c r="BH84" i="4"/>
  <c r="BG84" i="4"/>
  <c r="BF84" i="4"/>
  <c r="BE84" i="4"/>
  <c r="BD84" i="4"/>
  <c r="BC84" i="4"/>
  <c r="BB84" i="4"/>
  <c r="BA84" i="4"/>
  <c r="AZ84" i="4"/>
  <c r="AY84" i="4"/>
  <c r="AB84" i="4"/>
  <c r="S84" i="4"/>
  <c r="DH83" i="4"/>
  <c r="DG83" i="4"/>
  <c r="DF83" i="4"/>
  <c r="DD83" i="4"/>
  <c r="DC83" i="4"/>
  <c r="DB83" i="4"/>
  <c r="DA83" i="4"/>
  <c r="CZ83" i="4"/>
  <c r="CY83" i="4"/>
  <c r="CX83" i="4"/>
  <c r="CW83" i="4"/>
  <c r="CV83" i="4"/>
  <c r="CU83" i="4"/>
  <c r="CT83" i="4"/>
  <c r="CR83" i="4"/>
  <c r="CQ83" i="4"/>
  <c r="CP83" i="4"/>
  <c r="BX83" i="4"/>
  <c r="CS83" i="4" s="1"/>
  <c r="BS83" i="4"/>
  <c r="BR83" i="4"/>
  <c r="CN83" i="4" s="1"/>
  <c r="BQ83" i="4"/>
  <c r="BP83" i="4"/>
  <c r="BM83" i="4"/>
  <c r="BL83" i="4"/>
  <c r="BK83" i="4"/>
  <c r="BJ83" i="4"/>
  <c r="BI83" i="4"/>
  <c r="BH83" i="4"/>
  <c r="BG83" i="4"/>
  <c r="BF83" i="4"/>
  <c r="BE83" i="4"/>
  <c r="BD83" i="4"/>
  <c r="BC83" i="4"/>
  <c r="AX83" i="4" s="1"/>
  <c r="BA83" i="4"/>
  <c r="AZ83" i="4"/>
  <c r="AY83" i="4"/>
  <c r="AG83" i="4"/>
  <c r="BB83" i="4" s="1"/>
  <c r="AB83" i="4"/>
  <c r="G83" i="4"/>
  <c r="DJ83" i="4" s="1"/>
  <c r="DJ82" i="4"/>
  <c r="DH82" i="4"/>
  <c r="DG82" i="4"/>
  <c r="DF82" i="4"/>
  <c r="DD82" i="4"/>
  <c r="DC82" i="4"/>
  <c r="DB82" i="4"/>
  <c r="CZ82" i="4"/>
  <c r="CY82" i="4"/>
  <c r="CX82" i="4"/>
  <c r="CW82" i="4"/>
  <c r="CV82" i="4"/>
  <c r="CU82" i="4"/>
  <c r="CT82" i="4"/>
  <c r="CS82" i="4"/>
  <c r="CR82" i="4"/>
  <c r="CQ82" i="4"/>
  <c r="CP82" i="4"/>
  <c r="CF82" i="4"/>
  <c r="BS82" i="4" s="1"/>
  <c r="BQ82" i="4"/>
  <c r="BP82" i="4"/>
  <c r="BM82" i="4"/>
  <c r="BL82" i="4"/>
  <c r="BK82" i="4"/>
  <c r="BI82" i="4"/>
  <c r="BH82" i="4"/>
  <c r="BG82" i="4"/>
  <c r="BF82" i="4"/>
  <c r="BE82" i="4"/>
  <c r="BD82" i="4"/>
  <c r="BC82" i="4"/>
  <c r="BB82" i="4"/>
  <c r="BA82" i="4"/>
  <c r="AZ82" i="4"/>
  <c r="AY82" i="4"/>
  <c r="AO82" i="4"/>
  <c r="AG82" i="4"/>
  <c r="S82" i="4"/>
  <c r="G82" i="4"/>
  <c r="DH81" i="4"/>
  <c r="DG81" i="4"/>
  <c r="DF81" i="4"/>
  <c r="DD81" i="4"/>
  <c r="DC81" i="4"/>
  <c r="DB81" i="4"/>
  <c r="DA81" i="4"/>
  <c r="CZ81" i="4"/>
  <c r="CY81" i="4"/>
  <c r="CX81" i="4"/>
  <c r="CW81" i="4"/>
  <c r="CV81" i="4"/>
  <c r="CU81" i="4"/>
  <c r="CT81" i="4"/>
  <c r="CS81" i="4"/>
  <c r="CR81" i="4"/>
  <c r="CQ81" i="4"/>
  <c r="CP81" i="4"/>
  <c r="BS81" i="4"/>
  <c r="BR81" i="4"/>
  <c r="CN81" i="4" s="1"/>
  <c r="BQ81" i="4"/>
  <c r="BP81" i="4"/>
  <c r="BM81" i="4"/>
  <c r="BL81" i="4"/>
  <c r="BK81" i="4"/>
  <c r="BJ81" i="4"/>
  <c r="BI81" i="4"/>
  <c r="BH81" i="4"/>
  <c r="BG81" i="4"/>
  <c r="BF81" i="4"/>
  <c r="BE81" i="4"/>
  <c r="BD81" i="4"/>
  <c r="BC81" i="4"/>
  <c r="BA81" i="4"/>
  <c r="AZ81" i="4"/>
  <c r="AY81" i="4"/>
  <c r="AG81" i="4"/>
  <c r="BB81" i="4" s="1"/>
  <c r="G81" i="4"/>
  <c r="DJ81" i="4" s="1"/>
  <c r="DH80" i="4"/>
  <c r="DG80" i="4"/>
  <c r="DF80" i="4"/>
  <c r="DD80" i="4"/>
  <c r="DC80" i="4"/>
  <c r="DB80" i="4"/>
  <c r="DA80" i="4"/>
  <c r="CZ80" i="4"/>
  <c r="CY80" i="4"/>
  <c r="CX80" i="4"/>
  <c r="CW80" i="4"/>
  <c r="CV80" i="4"/>
  <c r="CU80" i="4"/>
  <c r="CT80" i="4"/>
  <c r="CR80" i="4"/>
  <c r="CQ80" i="4"/>
  <c r="CP80" i="4"/>
  <c r="BX80" i="4"/>
  <c r="CS80" i="4" s="1"/>
  <c r="BS80" i="4"/>
  <c r="BR80" i="4" s="1"/>
  <c r="CN80" i="4" s="1"/>
  <c r="BQ80" i="4"/>
  <c r="BP80" i="4"/>
  <c r="BM80" i="4"/>
  <c r="BL80" i="4"/>
  <c r="BK80" i="4"/>
  <c r="BJ80" i="4"/>
  <c r="BI80" i="4"/>
  <c r="BH80" i="4"/>
  <c r="BG80" i="4"/>
  <c r="BF80" i="4"/>
  <c r="BE80" i="4"/>
  <c r="BD80" i="4"/>
  <c r="BC80" i="4"/>
  <c r="BA80" i="4"/>
  <c r="AZ80" i="4"/>
  <c r="AY80" i="4"/>
  <c r="AG80" i="4"/>
  <c r="AB80" i="4" s="1"/>
  <c r="G80" i="4"/>
  <c r="DJ80" i="4" s="1"/>
  <c r="DH79" i="4"/>
  <c r="DD79" i="4"/>
  <c r="DC79" i="4"/>
  <c r="DB79" i="4"/>
  <c r="CO79" i="4" s="1"/>
  <c r="DA79" i="4"/>
  <c r="CZ79" i="4"/>
  <c r="CY79" i="4"/>
  <c r="CR79" i="4"/>
  <c r="CQ79" i="4"/>
  <c r="CP79" i="4"/>
  <c r="BX79" i="4"/>
  <c r="CS79" i="4" s="1"/>
  <c r="BS79" i="4"/>
  <c r="BQ79" i="4"/>
  <c r="BP79" i="4"/>
  <c r="BM79" i="4"/>
  <c r="BL79" i="4"/>
  <c r="BK79" i="4"/>
  <c r="BJ79" i="4"/>
  <c r="BI79" i="4"/>
  <c r="BH79" i="4"/>
  <c r="BA79" i="4"/>
  <c r="AZ79" i="4"/>
  <c r="AY79" i="4"/>
  <c r="AG79" i="4"/>
  <c r="G79" i="4"/>
  <c r="DJ79" i="4" s="1"/>
  <c r="DH78" i="4"/>
  <c r="DD78" i="4"/>
  <c r="DC78" i="4"/>
  <c r="DB78" i="4"/>
  <c r="DA78" i="4"/>
  <c r="CZ78" i="4"/>
  <c r="CY78" i="4"/>
  <c r="CR78" i="4"/>
  <c r="CQ78" i="4"/>
  <c r="CP78" i="4"/>
  <c r="BX78" i="4"/>
  <c r="BS78" i="4"/>
  <c r="BQ78" i="4"/>
  <c r="BP78" i="4"/>
  <c r="BM78" i="4"/>
  <c r="BL78" i="4"/>
  <c r="BK78" i="4"/>
  <c r="BJ78" i="4"/>
  <c r="BI78" i="4"/>
  <c r="BH78" i="4"/>
  <c r="BA78" i="4"/>
  <c r="AZ78" i="4"/>
  <c r="AY78" i="4"/>
  <c r="AG78" i="4"/>
  <c r="AB78" i="4"/>
  <c r="K78" i="4"/>
  <c r="DH77" i="4"/>
  <c r="DD77" i="4"/>
  <c r="DC77" i="4"/>
  <c r="DB77" i="4"/>
  <c r="DA77" i="4"/>
  <c r="CZ77" i="4"/>
  <c r="CY77" i="4"/>
  <c r="CR77" i="4"/>
  <c r="CQ77" i="4"/>
  <c r="CP77" i="4"/>
  <c r="BS77" i="4"/>
  <c r="BQ77" i="4"/>
  <c r="BP77" i="4"/>
  <c r="BM77" i="4"/>
  <c r="BL77" i="4"/>
  <c r="BJ77" i="4"/>
  <c r="BI77" i="4"/>
  <c r="BH77" i="4"/>
  <c r="BA77" i="4"/>
  <c r="AZ77" i="4"/>
  <c r="AY77" i="4"/>
  <c r="AB77" i="4"/>
  <c r="K77" i="4"/>
  <c r="BB77" i="4" s="1"/>
  <c r="DH76" i="4"/>
  <c r="DD76" i="4"/>
  <c r="DC76" i="4"/>
  <c r="DB76" i="4"/>
  <c r="DA76" i="4"/>
  <c r="CZ76" i="4"/>
  <c r="CY76" i="4"/>
  <c r="CR76" i="4"/>
  <c r="CQ76" i="4"/>
  <c r="CP76" i="4"/>
  <c r="BS76" i="4"/>
  <c r="BQ76" i="4"/>
  <c r="BP76" i="4"/>
  <c r="BM76" i="4"/>
  <c r="BL76" i="4"/>
  <c r="BJ76" i="4"/>
  <c r="BI76" i="4"/>
  <c r="BH76" i="4"/>
  <c r="BA76" i="4"/>
  <c r="AZ76" i="4"/>
  <c r="AY76" i="4"/>
  <c r="AB76" i="4"/>
  <c r="K76" i="4"/>
  <c r="G76" i="4"/>
  <c r="DJ76" i="4" s="1"/>
  <c r="DG75" i="4"/>
  <c r="DF75" i="4"/>
  <c r="DD75" i="4"/>
  <c r="DC75" i="4"/>
  <c r="DB75" i="4"/>
  <c r="DA75" i="4"/>
  <c r="CZ75" i="4"/>
  <c r="CY75" i="4"/>
  <c r="CX75" i="4"/>
  <c r="CW75" i="4"/>
  <c r="CV75" i="4"/>
  <c r="CU75" i="4"/>
  <c r="CT75" i="4"/>
  <c r="CS75" i="4"/>
  <c r="CR75" i="4"/>
  <c r="CQ75" i="4"/>
  <c r="CP75" i="4"/>
  <c r="CM75" i="4"/>
  <c r="BS75" i="4" s="1"/>
  <c r="BP75" i="4"/>
  <c r="BM75" i="4"/>
  <c r="BL75" i="4"/>
  <c r="BK75" i="4"/>
  <c r="BJ75" i="4"/>
  <c r="BI75" i="4"/>
  <c r="BH75" i="4"/>
  <c r="BG75" i="4"/>
  <c r="BF75" i="4"/>
  <c r="BE75" i="4"/>
  <c r="BD75" i="4"/>
  <c r="BC75" i="4"/>
  <c r="BB75" i="4"/>
  <c r="BA75" i="4"/>
  <c r="AZ75" i="4"/>
  <c r="AY75" i="4"/>
  <c r="AV75" i="4"/>
  <c r="AB75" i="4" s="1"/>
  <c r="Z75" i="4"/>
  <c r="DH74" i="4"/>
  <c r="DG74" i="4"/>
  <c r="DF74" i="4"/>
  <c r="DD74" i="4"/>
  <c r="DC74" i="4"/>
  <c r="DB74" i="4"/>
  <c r="DA74" i="4"/>
  <c r="CZ74" i="4"/>
  <c r="CY74" i="4"/>
  <c r="CX74" i="4"/>
  <c r="CW74" i="4"/>
  <c r="CV74" i="4"/>
  <c r="CU74" i="4"/>
  <c r="CT74" i="4"/>
  <c r="CR74" i="4"/>
  <c r="CQ74" i="4"/>
  <c r="CP74" i="4"/>
  <c r="BX74" i="4"/>
  <c r="CS74" i="4" s="1"/>
  <c r="BS74" i="4"/>
  <c r="BQ74" i="4"/>
  <c r="BP74" i="4"/>
  <c r="BM74" i="4"/>
  <c r="BL74" i="4"/>
  <c r="BK74" i="4"/>
  <c r="BJ74" i="4"/>
  <c r="BI74" i="4"/>
  <c r="BH74" i="4"/>
  <c r="BG74" i="4"/>
  <c r="BF74" i="4"/>
  <c r="BE74" i="4"/>
  <c r="BD74" i="4"/>
  <c r="BC74" i="4"/>
  <c r="BA74" i="4"/>
  <c r="AZ74" i="4"/>
  <c r="AY74" i="4"/>
  <c r="AG74" i="4"/>
  <c r="AB74" i="4" s="1"/>
  <c r="K74" i="4"/>
  <c r="G74" i="4"/>
  <c r="DH73" i="4"/>
  <c r="DG73" i="4"/>
  <c r="DF73" i="4"/>
  <c r="DD73" i="4"/>
  <c r="DC73" i="4"/>
  <c r="DB73" i="4"/>
  <c r="DA73" i="4"/>
  <c r="CZ73" i="4"/>
  <c r="CY73" i="4"/>
  <c r="CX73" i="4"/>
  <c r="CW73" i="4"/>
  <c r="CV73" i="4"/>
  <c r="CU73" i="4"/>
  <c r="CT73" i="4"/>
  <c r="CS73" i="4"/>
  <c r="CR73" i="4"/>
  <c r="CQ73" i="4"/>
  <c r="CP73" i="4"/>
  <c r="BS73" i="4"/>
  <c r="BQ73" i="4"/>
  <c r="BP73" i="4"/>
  <c r="BM73" i="4"/>
  <c r="BL73" i="4"/>
  <c r="BK73" i="4"/>
  <c r="BJ73" i="4"/>
  <c r="BI73" i="4"/>
  <c r="BH73" i="4"/>
  <c r="BG73" i="4"/>
  <c r="BF73" i="4"/>
  <c r="BE73" i="4"/>
  <c r="BD73" i="4"/>
  <c r="BC73" i="4"/>
  <c r="BA73" i="4"/>
  <c r="AZ73" i="4"/>
  <c r="AY73" i="4"/>
  <c r="AG73" i="4"/>
  <c r="AB73" i="4" s="1"/>
  <c r="K73" i="4"/>
  <c r="DJ72" i="4"/>
  <c r="DH72" i="4"/>
  <c r="DG72" i="4"/>
  <c r="DF72" i="4"/>
  <c r="DD72" i="4"/>
  <c r="DC72" i="4"/>
  <c r="DB72" i="4"/>
  <c r="DA72" i="4"/>
  <c r="CZ72" i="4"/>
  <c r="CY72" i="4"/>
  <c r="CX72" i="4"/>
  <c r="CW72" i="4"/>
  <c r="CV72" i="4"/>
  <c r="CU72" i="4"/>
  <c r="CT72" i="4"/>
  <c r="CS72" i="4"/>
  <c r="CR72" i="4"/>
  <c r="CQ72" i="4"/>
  <c r="CP72" i="4"/>
  <c r="BX72" i="4"/>
  <c r="BS72" i="4" s="1"/>
  <c r="BR72" i="4" s="1"/>
  <c r="CN72" i="4" s="1"/>
  <c r="BQ72" i="4"/>
  <c r="BP72" i="4"/>
  <c r="BO72" i="4"/>
  <c r="BM72" i="4"/>
  <c r="BL72" i="4"/>
  <c r="BK72" i="4"/>
  <c r="BJ72" i="4"/>
  <c r="BI72" i="4"/>
  <c r="BH72" i="4"/>
  <c r="BG72" i="4"/>
  <c r="BF72" i="4"/>
  <c r="BE72" i="4"/>
  <c r="BD72" i="4"/>
  <c r="BC72" i="4"/>
  <c r="BA72" i="4"/>
  <c r="AZ72" i="4"/>
  <c r="AY72" i="4"/>
  <c r="AG72" i="4"/>
  <c r="AB72" i="4" s="1"/>
  <c r="AA72" i="4" s="1"/>
  <c r="AW72" i="4" s="1"/>
  <c r="G72" i="4"/>
  <c r="DH71" i="4"/>
  <c r="DG71" i="4"/>
  <c r="DF71" i="4"/>
  <c r="DD71" i="4"/>
  <c r="DC71" i="4"/>
  <c r="DB71" i="4"/>
  <c r="DA71" i="4"/>
  <c r="CZ71" i="4"/>
  <c r="CY71" i="4"/>
  <c r="CX71" i="4"/>
  <c r="CW71" i="4"/>
  <c r="CV71" i="4"/>
  <c r="CU71" i="4"/>
  <c r="CT71" i="4"/>
  <c r="CR71" i="4"/>
  <c r="CQ71" i="4"/>
  <c r="CP71" i="4"/>
  <c r="BX71" i="4"/>
  <c r="CS71" i="4" s="1"/>
  <c r="BQ71" i="4"/>
  <c r="BP71" i="4"/>
  <c r="BO71" i="4"/>
  <c r="BM71" i="4"/>
  <c r="BL71" i="4"/>
  <c r="BK71" i="4"/>
  <c r="BJ71" i="4"/>
  <c r="BI71" i="4"/>
  <c r="BH71" i="4"/>
  <c r="BG71" i="4"/>
  <c r="BF71" i="4"/>
  <c r="BE71" i="4"/>
  <c r="BD71" i="4"/>
  <c r="BC71" i="4"/>
  <c r="BA71" i="4"/>
  <c r="AZ71" i="4"/>
  <c r="AY71" i="4"/>
  <c r="AG71" i="4"/>
  <c r="BB71" i="4" s="1"/>
  <c r="G71" i="4"/>
  <c r="DJ71" i="4" s="1"/>
  <c r="DG70" i="4"/>
  <c r="DF70" i="4"/>
  <c r="DD70" i="4"/>
  <c r="DC70" i="4"/>
  <c r="DB70" i="4"/>
  <c r="DA70" i="4"/>
  <c r="CZ70" i="4"/>
  <c r="CY70" i="4"/>
  <c r="CX70" i="4"/>
  <c r="CW70" i="4"/>
  <c r="CV70" i="4"/>
  <c r="CU70" i="4"/>
  <c r="CT70" i="4"/>
  <c r="CS70" i="4"/>
  <c r="CR70" i="4"/>
  <c r="CQ70" i="4"/>
  <c r="CP70" i="4"/>
  <c r="CM70" i="4"/>
  <c r="BS70" i="4" s="1"/>
  <c r="CF70" i="4"/>
  <c r="BP70" i="4"/>
  <c r="BM70" i="4"/>
  <c r="BL70" i="4"/>
  <c r="BK70" i="4"/>
  <c r="BI70" i="4"/>
  <c r="BH70" i="4"/>
  <c r="BG70" i="4"/>
  <c r="BF70" i="4"/>
  <c r="BE70" i="4"/>
  <c r="BD70" i="4"/>
  <c r="BC70" i="4"/>
  <c r="BB70" i="4"/>
  <c r="BA70" i="4"/>
  <c r="AZ70" i="4"/>
  <c r="AY70" i="4"/>
  <c r="AV70" i="4"/>
  <c r="AO70" i="4"/>
  <c r="Z70" i="4"/>
  <c r="DK69" i="4"/>
  <c r="DH69" i="4"/>
  <c r="DG69" i="4"/>
  <c r="DF69" i="4"/>
  <c r="DD69" i="4"/>
  <c r="DC69" i="4"/>
  <c r="DB69" i="4"/>
  <c r="DA69" i="4"/>
  <c r="CZ69" i="4"/>
  <c r="CY69" i="4"/>
  <c r="CX69" i="4"/>
  <c r="CW69" i="4"/>
  <c r="CV69" i="4"/>
  <c r="CU69" i="4"/>
  <c r="CT69" i="4"/>
  <c r="CS69" i="4"/>
  <c r="CR69" i="4"/>
  <c r="CQ69" i="4"/>
  <c r="CO69" i="4" s="1"/>
  <c r="DL69" i="4" s="1"/>
  <c r="CP69" i="4"/>
  <c r="BS69" i="4"/>
  <c r="BQ69" i="4"/>
  <c r="BP69" i="4"/>
  <c r="BO69" i="4"/>
  <c r="AX69" i="4" s="1"/>
  <c r="BM69" i="4"/>
  <c r="BL69" i="4"/>
  <c r="BK69" i="4"/>
  <c r="BJ69" i="4"/>
  <c r="BI69" i="4"/>
  <c r="BH69" i="4"/>
  <c r="BG69" i="4"/>
  <c r="BF69" i="4"/>
  <c r="BE69" i="4"/>
  <c r="BD69" i="4"/>
  <c r="BC69" i="4"/>
  <c r="BB69" i="4"/>
  <c r="BA69" i="4"/>
  <c r="AZ69" i="4"/>
  <c r="AY69" i="4"/>
  <c r="AB69" i="4"/>
  <c r="Z69" i="4"/>
  <c r="G69" i="4"/>
  <c r="DG68" i="4"/>
  <c r="DF68" i="4"/>
  <c r="DD68" i="4"/>
  <c r="DC68" i="4"/>
  <c r="DB68" i="4"/>
  <c r="DA68" i="4"/>
  <c r="CZ68" i="4"/>
  <c r="CY68" i="4"/>
  <c r="CX68" i="4"/>
  <c r="CW68" i="4"/>
  <c r="CV68" i="4"/>
  <c r="CU68" i="4"/>
  <c r="CT68" i="4"/>
  <c r="CS68" i="4"/>
  <c r="CR68" i="4"/>
  <c r="CQ68" i="4"/>
  <c r="CP68" i="4"/>
  <c r="CM68" i="4"/>
  <c r="BS68" i="4"/>
  <c r="BP68" i="4"/>
  <c r="BM68" i="4"/>
  <c r="BL68" i="4"/>
  <c r="BK68" i="4"/>
  <c r="BJ68" i="4"/>
  <c r="BI68" i="4"/>
  <c r="BH68" i="4"/>
  <c r="BG68" i="4"/>
  <c r="BF68" i="4"/>
  <c r="BE68" i="4"/>
  <c r="BD68" i="4"/>
  <c r="BC68" i="4"/>
  <c r="BB68" i="4"/>
  <c r="BA68" i="4"/>
  <c r="AZ68" i="4"/>
  <c r="AY68" i="4"/>
  <c r="AV68" i="4"/>
  <c r="AB68" i="4" s="1"/>
  <c r="Z68" i="4"/>
  <c r="G68" i="4" s="1"/>
  <c r="DJ68" i="4" s="1"/>
  <c r="DG67" i="4"/>
  <c r="DF67" i="4"/>
  <c r="DD67" i="4"/>
  <c r="DC67" i="4"/>
  <c r="DB67" i="4"/>
  <c r="DA67" i="4"/>
  <c r="CZ67" i="4"/>
  <c r="CY67" i="4"/>
  <c r="CX67" i="4"/>
  <c r="CW67" i="4"/>
  <c r="CV67" i="4"/>
  <c r="CU67" i="4"/>
  <c r="CT67" i="4"/>
  <c r="CS67" i="4"/>
  <c r="CR67" i="4"/>
  <c r="CQ67" i="4"/>
  <c r="CP67" i="4"/>
  <c r="CM67" i="4"/>
  <c r="BS67" i="4" s="1"/>
  <c r="BP67" i="4"/>
  <c r="BM67" i="4"/>
  <c r="BL67" i="4"/>
  <c r="BK67" i="4"/>
  <c r="BJ67" i="4"/>
  <c r="BI67" i="4"/>
  <c r="BH67" i="4"/>
  <c r="BG67" i="4"/>
  <c r="BF67" i="4"/>
  <c r="BE67" i="4"/>
  <c r="BD67" i="4"/>
  <c r="BC67" i="4"/>
  <c r="BB67" i="4"/>
  <c r="BA67" i="4"/>
  <c r="AZ67" i="4"/>
  <c r="AY67" i="4"/>
  <c r="AV67" i="4"/>
  <c r="AB67" i="4" s="1"/>
  <c r="Z67" i="4"/>
  <c r="DH66" i="4"/>
  <c r="DG66" i="4"/>
  <c r="DF66" i="4"/>
  <c r="DD66" i="4"/>
  <c r="DC66" i="4"/>
  <c r="DB66" i="4"/>
  <c r="DA66" i="4"/>
  <c r="CY66" i="4"/>
  <c r="CX66" i="4"/>
  <c r="CW66" i="4"/>
  <c r="CV66" i="4"/>
  <c r="CU66" i="4"/>
  <c r="CT66" i="4"/>
  <c r="CR66" i="4"/>
  <c r="CQ66" i="4"/>
  <c r="CP66" i="4"/>
  <c r="CP93" i="4" s="1"/>
  <c r="BX66" i="4"/>
  <c r="CE66" i="4" s="1"/>
  <c r="BQ66" i="4"/>
  <c r="BP66" i="4"/>
  <c r="BM66" i="4"/>
  <c r="BL66" i="4"/>
  <c r="BK66" i="4"/>
  <c r="BJ66" i="4"/>
  <c r="BH66" i="4"/>
  <c r="BG66" i="4"/>
  <c r="BF66" i="4"/>
  <c r="BE66" i="4"/>
  <c r="BD66" i="4"/>
  <c r="BC66" i="4"/>
  <c r="BA66" i="4"/>
  <c r="AZ66" i="4"/>
  <c r="AY66" i="4"/>
  <c r="AN66" i="4"/>
  <c r="AG66" i="4"/>
  <c r="R66" i="4"/>
  <c r="R142" i="4" s="1"/>
  <c r="K66" i="4"/>
  <c r="G66" i="4"/>
  <c r="DJ66" i="4" s="1"/>
  <c r="DH65" i="4"/>
  <c r="DG65" i="4"/>
  <c r="DF65" i="4"/>
  <c r="DD65" i="4"/>
  <c r="DC65" i="4"/>
  <c r="DB65" i="4"/>
  <c r="CZ65" i="4"/>
  <c r="CY65" i="4"/>
  <c r="CX65" i="4"/>
  <c r="CW65" i="4"/>
  <c r="CV65" i="4"/>
  <c r="CU65" i="4"/>
  <c r="CT65" i="4"/>
  <c r="CR65" i="4"/>
  <c r="CQ65" i="4"/>
  <c r="CP65" i="4"/>
  <c r="BX65" i="4"/>
  <c r="CS65" i="4" s="1"/>
  <c r="BQ65" i="4"/>
  <c r="BP65" i="4"/>
  <c r="BM65" i="4"/>
  <c r="BL65" i="4"/>
  <c r="BK65" i="4"/>
  <c r="BI65" i="4"/>
  <c r="BH65" i="4"/>
  <c r="BG65" i="4"/>
  <c r="BF65" i="4"/>
  <c r="BE65" i="4"/>
  <c r="BD65" i="4"/>
  <c r="BC65" i="4"/>
  <c r="BB65" i="4"/>
  <c r="BA65" i="4"/>
  <c r="AZ65" i="4"/>
  <c r="AY65" i="4"/>
  <c r="AO65" i="4"/>
  <c r="BJ65" i="4" s="1"/>
  <c r="AG65" i="4"/>
  <c r="S65" i="4"/>
  <c r="K65" i="4"/>
  <c r="G65" i="4" s="1"/>
  <c r="DJ65" i="4" s="1"/>
  <c r="DJ64" i="4"/>
  <c r="DH64" i="4"/>
  <c r="DG64" i="4"/>
  <c r="DF64" i="4"/>
  <c r="DD64" i="4"/>
  <c r="DC64" i="4"/>
  <c r="DB64" i="4"/>
  <c r="DA64" i="4"/>
  <c r="CZ64" i="4"/>
  <c r="CY64" i="4"/>
  <c r="CX64" i="4"/>
  <c r="CW64" i="4"/>
  <c r="CV64" i="4"/>
  <c r="CU64" i="4"/>
  <c r="CT64" i="4"/>
  <c r="CS64" i="4"/>
  <c r="CR64" i="4"/>
  <c r="CQ64" i="4"/>
  <c r="CP64" i="4"/>
  <c r="CF64" i="4"/>
  <c r="BS64" i="4" s="1"/>
  <c r="BR64" i="4" s="1"/>
  <c r="CN64" i="4" s="1"/>
  <c r="BQ64" i="4"/>
  <c r="BP64" i="4"/>
  <c r="BO64" i="4"/>
  <c r="BM64" i="4"/>
  <c r="BL64" i="4"/>
  <c r="BK64" i="4"/>
  <c r="BI64" i="4"/>
  <c r="BH64" i="4"/>
  <c r="BG64" i="4"/>
  <c r="BF64" i="4"/>
  <c r="BE64" i="4"/>
  <c r="BD64" i="4"/>
  <c r="BC64" i="4"/>
  <c r="BB64" i="4"/>
  <c r="BA64" i="4"/>
  <c r="AZ64" i="4"/>
  <c r="AY64" i="4"/>
  <c r="AO64" i="4"/>
  <c r="AB64" i="4" s="1"/>
  <c r="G64" i="4"/>
  <c r="DJ63" i="4"/>
  <c r="DG63" i="4"/>
  <c r="DF63" i="4"/>
  <c r="DD63" i="4"/>
  <c r="DC63" i="4"/>
  <c r="DB63" i="4"/>
  <c r="DA63" i="4"/>
  <c r="CZ63" i="4"/>
  <c r="CY63" i="4"/>
  <c r="CX63" i="4"/>
  <c r="CW63" i="4"/>
  <c r="CV63" i="4"/>
  <c r="CU63" i="4"/>
  <c r="CT63" i="4"/>
  <c r="CS63" i="4"/>
  <c r="CR63" i="4"/>
  <c r="CQ63" i="4"/>
  <c r="CP63" i="4"/>
  <c r="CM63" i="4"/>
  <c r="DH63" i="4" s="1"/>
  <c r="BQ63" i="4"/>
  <c r="BP63" i="4"/>
  <c r="BM63" i="4"/>
  <c r="BL63" i="4"/>
  <c r="BK63" i="4"/>
  <c r="BJ63" i="4"/>
  <c r="BI63" i="4"/>
  <c r="BH63" i="4"/>
  <c r="BH93" i="4" s="1"/>
  <c r="BG63" i="4"/>
  <c r="BG93" i="4" s="1"/>
  <c r="BF63" i="4"/>
  <c r="BE63" i="4"/>
  <c r="BD63" i="4"/>
  <c r="BC63" i="4"/>
  <c r="BB63" i="4"/>
  <c r="BA63" i="4"/>
  <c r="AZ63" i="4"/>
  <c r="AY63" i="4"/>
  <c r="AV63" i="4"/>
  <c r="AB63" i="4" s="1"/>
  <c r="AA63" i="4" s="1"/>
  <c r="AW63" i="4" s="1"/>
  <c r="G63" i="4"/>
  <c r="DG62" i="4"/>
  <c r="DF62" i="4"/>
  <c r="DD62" i="4"/>
  <c r="DC62" i="4"/>
  <c r="DB62" i="4"/>
  <c r="DA62" i="4"/>
  <c r="CZ62" i="4"/>
  <c r="CY62" i="4"/>
  <c r="CX62" i="4"/>
  <c r="CW62" i="4"/>
  <c r="CV62" i="4"/>
  <c r="CU62" i="4"/>
  <c r="CT62" i="4"/>
  <c r="CS62" i="4"/>
  <c r="CR62" i="4"/>
  <c r="CQ62" i="4"/>
  <c r="CP62" i="4"/>
  <c r="CM62" i="4"/>
  <c r="BS62" i="4" s="1"/>
  <c r="BP62" i="4"/>
  <c r="BM62" i="4"/>
  <c r="BL62" i="4"/>
  <c r="BK62" i="4"/>
  <c r="BJ62" i="4"/>
  <c r="BI62" i="4"/>
  <c r="BH62" i="4"/>
  <c r="BG62" i="4"/>
  <c r="BF62" i="4"/>
  <c r="BE62" i="4"/>
  <c r="BD62" i="4"/>
  <c r="BC62" i="4"/>
  <c r="BB62" i="4"/>
  <c r="BA62" i="4"/>
  <c r="AZ62" i="4"/>
  <c r="AY62" i="4"/>
  <c r="AV62" i="4"/>
  <c r="AB62" i="4" s="1"/>
  <c r="Z62" i="4"/>
  <c r="DG61" i="4"/>
  <c r="DF61" i="4"/>
  <c r="DD61" i="4"/>
  <c r="DC61" i="4"/>
  <c r="DB61" i="4"/>
  <c r="DA61" i="4"/>
  <c r="CZ61" i="4"/>
  <c r="CY61" i="4"/>
  <c r="CX61" i="4"/>
  <c r="CW61" i="4"/>
  <c r="CV61" i="4"/>
  <c r="CU61" i="4"/>
  <c r="CS61" i="4"/>
  <c r="CR61" i="4"/>
  <c r="CQ61" i="4"/>
  <c r="CP61" i="4"/>
  <c r="CM61" i="4"/>
  <c r="BY61" i="4"/>
  <c r="BY142" i="4" s="1"/>
  <c r="BS61" i="4"/>
  <c r="BP61" i="4"/>
  <c r="BM61" i="4"/>
  <c r="BL61" i="4"/>
  <c r="BK61" i="4"/>
  <c r="BJ61" i="4"/>
  <c r="BI61" i="4"/>
  <c r="BH61" i="4"/>
  <c r="BG61" i="4"/>
  <c r="BF61" i="4"/>
  <c r="BE61" i="4"/>
  <c r="BD61" i="4"/>
  <c r="BB61" i="4"/>
  <c r="BA61" i="4"/>
  <c r="AZ61" i="4"/>
  <c r="AY61" i="4"/>
  <c r="AV61" i="4"/>
  <c r="AH61" i="4"/>
  <c r="AH142" i="4" s="1"/>
  <c r="Z61" i="4"/>
  <c r="L61" i="4"/>
  <c r="L142" i="4" s="1"/>
  <c r="CK60" i="4"/>
  <c r="CI60" i="4"/>
  <c r="CG60" i="4"/>
  <c r="CD60" i="4"/>
  <c r="CC60" i="4"/>
  <c r="CB60" i="4"/>
  <c r="CA60" i="4"/>
  <c r="BZ60" i="4"/>
  <c r="BX60" i="4"/>
  <c r="BW60" i="4"/>
  <c r="BU60" i="4"/>
  <c r="BT60" i="4"/>
  <c r="BO60" i="4"/>
  <c r="BM60" i="4"/>
  <c r="AT60" i="4"/>
  <c r="AR60" i="4"/>
  <c r="AP60" i="4"/>
  <c r="AM60" i="4"/>
  <c r="AL60" i="4"/>
  <c r="AK60" i="4"/>
  <c r="AJ60" i="4"/>
  <c r="AI60" i="4"/>
  <c r="AG60" i="4"/>
  <c r="AF60" i="4"/>
  <c r="AD60" i="4"/>
  <c r="X60" i="4"/>
  <c r="V60" i="4"/>
  <c r="T60" i="4"/>
  <c r="S60" i="4"/>
  <c r="R60" i="4"/>
  <c r="Q60" i="4"/>
  <c r="P60" i="4"/>
  <c r="O60" i="4"/>
  <c r="N60" i="4"/>
  <c r="M60" i="4"/>
  <c r="K60" i="4"/>
  <c r="J60" i="4"/>
  <c r="I60" i="4"/>
  <c r="H60" i="4"/>
  <c r="DG59" i="4"/>
  <c r="DF59" i="4"/>
  <c r="DD59" i="4"/>
  <c r="DC59" i="4"/>
  <c r="DB59" i="4"/>
  <c r="DA59" i="4"/>
  <c r="CZ59" i="4"/>
  <c r="CY59" i="4"/>
  <c r="CX59" i="4"/>
  <c r="CW59" i="4"/>
  <c r="CV59" i="4"/>
  <c r="CU59" i="4"/>
  <c r="CT59" i="4"/>
  <c r="CS59" i="4"/>
  <c r="CR59" i="4"/>
  <c r="CQ59" i="4"/>
  <c r="CP59" i="4"/>
  <c r="CM59" i="4"/>
  <c r="BS59" i="4" s="1"/>
  <c r="BP59" i="4"/>
  <c r="BM59" i="4"/>
  <c r="BL59" i="4"/>
  <c r="BK59" i="4"/>
  <c r="BJ59" i="4"/>
  <c r="BI59" i="4"/>
  <c r="BH59" i="4"/>
  <c r="BG59" i="4"/>
  <c r="BF59" i="4"/>
  <c r="BE59" i="4"/>
  <c r="BD59" i="4"/>
  <c r="BC59" i="4"/>
  <c r="BB59" i="4"/>
  <c r="BA59" i="4"/>
  <c r="AZ59" i="4"/>
  <c r="AY59" i="4"/>
  <c r="AV59" i="4"/>
  <c r="AB59" i="4" s="1"/>
  <c r="Z59" i="4"/>
  <c r="G59" i="4"/>
  <c r="DJ59" i="4" s="1"/>
  <c r="DH58" i="4"/>
  <c r="DG58" i="4"/>
  <c r="DF58" i="4"/>
  <c r="DD58" i="4"/>
  <c r="DB58" i="4"/>
  <c r="DA58" i="4"/>
  <c r="CZ58" i="4"/>
  <c r="CY58" i="4"/>
  <c r="CX58" i="4"/>
  <c r="CW58" i="4"/>
  <c r="CV58" i="4"/>
  <c r="CU58" i="4"/>
  <c r="CS58" i="4"/>
  <c r="CR58" i="4"/>
  <c r="CP58" i="4"/>
  <c r="BY58" i="4"/>
  <c r="BV58" i="4"/>
  <c r="CH58" i="4" s="1"/>
  <c r="DC58" i="4" s="1"/>
  <c r="BQ58" i="4"/>
  <c r="BP58" i="4"/>
  <c r="BM58" i="4"/>
  <c r="BK58" i="4"/>
  <c r="BJ58" i="4"/>
  <c r="BI58" i="4"/>
  <c r="BH58" i="4"/>
  <c r="BG58" i="4"/>
  <c r="BF58" i="4"/>
  <c r="BE58" i="4"/>
  <c r="BD58" i="4"/>
  <c r="BB58" i="4"/>
  <c r="BA58" i="4"/>
  <c r="AY58" i="4"/>
  <c r="AQ58" i="4"/>
  <c r="BL58" i="4" s="1"/>
  <c r="AH58" i="4"/>
  <c r="AH140" i="4" s="1"/>
  <c r="AE58" i="4"/>
  <c r="AB58" i="4" s="1"/>
  <c r="L58" i="4"/>
  <c r="DH57" i="4"/>
  <c r="DG57" i="4"/>
  <c r="DF57" i="4"/>
  <c r="DD57" i="4"/>
  <c r="DC57" i="4"/>
  <c r="DB57" i="4"/>
  <c r="DA57" i="4"/>
  <c r="CZ57" i="4"/>
  <c r="CY57" i="4"/>
  <c r="CX57" i="4"/>
  <c r="CW57" i="4"/>
  <c r="CV57" i="4"/>
  <c r="CU57" i="4"/>
  <c r="CT57" i="4"/>
  <c r="CS57" i="4"/>
  <c r="CR57" i="4"/>
  <c r="CQ57" i="4"/>
  <c r="CP57" i="4"/>
  <c r="CO57" i="4"/>
  <c r="BS57" i="4"/>
  <c r="BQ57" i="4"/>
  <c r="BP57" i="4"/>
  <c r="BM57" i="4"/>
  <c r="BL57" i="4"/>
  <c r="BK57" i="4"/>
  <c r="BJ57" i="4"/>
  <c r="BI57" i="4"/>
  <c r="BH57" i="4"/>
  <c r="BG57" i="4"/>
  <c r="BF57" i="4"/>
  <c r="BE57" i="4"/>
  <c r="BD57" i="4"/>
  <c r="BC57" i="4"/>
  <c r="BB57" i="4"/>
  <c r="BA57" i="4"/>
  <c r="AZ57" i="4"/>
  <c r="AY57" i="4"/>
  <c r="AQ57" i="4"/>
  <c r="AB57" i="4"/>
  <c r="AA57" i="4"/>
  <c r="AW57" i="4" s="1"/>
  <c r="G57" i="4"/>
  <c r="DJ57" i="4" s="1"/>
  <c r="DH56" i="4"/>
  <c r="DG56" i="4"/>
  <c r="DF56" i="4"/>
  <c r="DD56" i="4"/>
  <c r="DB56" i="4"/>
  <c r="DA56" i="4"/>
  <c r="CZ56" i="4"/>
  <c r="CY56" i="4"/>
  <c r="CX56" i="4"/>
  <c r="CW56" i="4"/>
  <c r="CV56" i="4"/>
  <c r="CU56" i="4"/>
  <c r="CT56" i="4"/>
  <c r="CS56" i="4"/>
  <c r="CR56" i="4"/>
  <c r="CP56" i="4"/>
  <c r="CH56" i="4"/>
  <c r="DC56" i="4" s="1"/>
  <c r="BV56" i="4"/>
  <c r="CQ56" i="4" s="1"/>
  <c r="BQ56" i="4"/>
  <c r="BP56" i="4"/>
  <c r="BM56" i="4"/>
  <c r="BL56" i="4"/>
  <c r="BK56" i="4"/>
  <c r="BJ56" i="4"/>
  <c r="BI56" i="4"/>
  <c r="BH56" i="4"/>
  <c r="BG56" i="4"/>
  <c r="BF56" i="4"/>
  <c r="BE56" i="4"/>
  <c r="BD56" i="4"/>
  <c r="BC56" i="4"/>
  <c r="BB56" i="4"/>
  <c r="BA56" i="4"/>
  <c r="AY56" i="4"/>
  <c r="AE56" i="4"/>
  <c r="AB56" i="4" s="1"/>
  <c r="I56" i="4"/>
  <c r="DJ55" i="4"/>
  <c r="DH55" i="4"/>
  <c r="DG55" i="4"/>
  <c r="DF55" i="4"/>
  <c r="DD55" i="4"/>
  <c r="DB55" i="4"/>
  <c r="DA55" i="4"/>
  <c r="CZ55" i="4"/>
  <c r="CY55" i="4"/>
  <c r="CX55" i="4"/>
  <c r="CW55" i="4"/>
  <c r="CV55" i="4"/>
  <c r="CU55" i="4"/>
  <c r="CT55" i="4"/>
  <c r="CS55" i="4"/>
  <c r="CR55" i="4"/>
  <c r="CQ55" i="4"/>
  <c r="CP55" i="4"/>
  <c r="CH55" i="4"/>
  <c r="DC55" i="4" s="1"/>
  <c r="BQ55" i="4"/>
  <c r="BP55" i="4"/>
  <c r="BM55" i="4"/>
  <c r="BL55" i="4"/>
  <c r="BK55" i="4"/>
  <c r="BJ55" i="4"/>
  <c r="BI55" i="4"/>
  <c r="BH55" i="4"/>
  <c r="BG55" i="4"/>
  <c r="BF55" i="4"/>
  <c r="BE55" i="4"/>
  <c r="BD55" i="4"/>
  <c r="BC55" i="4"/>
  <c r="BB55" i="4"/>
  <c r="BA55" i="4"/>
  <c r="AZ55" i="4"/>
  <c r="AY55" i="4"/>
  <c r="AX55" i="4" s="1"/>
  <c r="DK55" i="4" s="1"/>
  <c r="AW55" i="4"/>
  <c r="AB55" i="4"/>
  <c r="AA55" i="4"/>
  <c r="G55" i="4"/>
  <c r="DJ54" i="4"/>
  <c r="DG54" i="4"/>
  <c r="DF54" i="4"/>
  <c r="DD54" i="4"/>
  <c r="DC54" i="4"/>
  <c r="DB54" i="4"/>
  <c r="DA54" i="4"/>
  <c r="CZ54" i="4"/>
  <c r="CY54" i="4"/>
  <c r="CX54" i="4"/>
  <c r="CW54" i="4"/>
  <c r="CV54" i="4"/>
  <c r="CU54" i="4"/>
  <c r="CT54" i="4"/>
  <c r="CS54" i="4"/>
  <c r="CR54" i="4"/>
  <c r="CP54" i="4"/>
  <c r="CM54" i="4"/>
  <c r="BV54" i="4"/>
  <c r="CQ54" i="4" s="1"/>
  <c r="BP54" i="4"/>
  <c r="BM54" i="4"/>
  <c r="BL54" i="4"/>
  <c r="BK54" i="4"/>
  <c r="BJ54" i="4"/>
  <c r="BI54" i="4"/>
  <c r="BH54" i="4"/>
  <c r="BG54" i="4"/>
  <c r="BF54" i="4"/>
  <c r="BE54" i="4"/>
  <c r="BD54" i="4"/>
  <c r="BC54" i="4"/>
  <c r="BB54" i="4"/>
  <c r="BA54" i="4"/>
  <c r="AZ54" i="4"/>
  <c r="AY54" i="4"/>
  <c r="AV54" i="4"/>
  <c r="AB54" i="4" s="1"/>
  <c r="AA54" i="4" s="1"/>
  <c r="AW54" i="4" s="1"/>
  <c r="Z54" i="4"/>
  <c r="DH54" i="4" s="1"/>
  <c r="G54" i="4"/>
  <c r="DG53" i="4"/>
  <c r="DF53" i="4"/>
  <c r="DD53" i="4"/>
  <c r="DC53" i="4"/>
  <c r="DB53" i="4"/>
  <c r="DA53" i="4"/>
  <c r="CZ53" i="4"/>
  <c r="CY53" i="4"/>
  <c r="CX53" i="4"/>
  <c r="CW53" i="4"/>
  <c r="CV53" i="4"/>
  <c r="CU53" i="4"/>
  <c r="CT53" i="4"/>
  <c r="CS53" i="4"/>
  <c r="CR53" i="4"/>
  <c r="CQ53" i="4"/>
  <c r="CP53" i="4"/>
  <c r="CM53" i="4"/>
  <c r="BS53" i="4" s="1"/>
  <c r="BP53" i="4"/>
  <c r="BM53" i="4"/>
  <c r="BL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V53" i="4"/>
  <c r="AB53" i="4" s="1"/>
  <c r="Z53" i="4"/>
  <c r="G53" i="4"/>
  <c r="DJ53" i="4" s="1"/>
  <c r="DH52" i="4"/>
  <c r="DG52" i="4"/>
  <c r="DF52" i="4"/>
  <c r="DD52" i="4"/>
  <c r="DC52" i="4"/>
  <c r="DB52" i="4"/>
  <c r="DA52" i="4"/>
  <c r="CZ52" i="4"/>
  <c r="CY52" i="4"/>
  <c r="CX52" i="4"/>
  <c r="CW52" i="4"/>
  <c r="CV52" i="4"/>
  <c r="CU52" i="4"/>
  <c r="CT52" i="4"/>
  <c r="CS52" i="4"/>
  <c r="CR52" i="4"/>
  <c r="CP52" i="4"/>
  <c r="CH52" i="4"/>
  <c r="BV52" i="4"/>
  <c r="BQ52" i="4"/>
  <c r="BP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Y52" i="4"/>
  <c r="AQ52" i="4"/>
  <c r="AE52" i="4"/>
  <c r="U52" i="4"/>
  <c r="I52" i="4"/>
  <c r="CQ52" i="4" s="1"/>
  <c r="CO52" i="4" s="1"/>
  <c r="G52" i="4"/>
  <c r="DJ52" i="4" s="1"/>
  <c r="DH51" i="4"/>
  <c r="DG51" i="4"/>
  <c r="DF51" i="4"/>
  <c r="DD51" i="4"/>
  <c r="DC51" i="4"/>
  <c r="DB51" i="4"/>
  <c r="DA51" i="4"/>
  <c r="CZ51" i="4"/>
  <c r="CY51" i="4"/>
  <c r="CX51" i="4"/>
  <c r="CW51" i="4"/>
  <c r="CV51" i="4"/>
  <c r="CU51" i="4"/>
  <c r="CT51" i="4"/>
  <c r="CS51" i="4"/>
  <c r="CR51" i="4"/>
  <c r="CP51" i="4"/>
  <c r="BV51" i="4"/>
  <c r="CQ51" i="4" s="1"/>
  <c r="CO51" i="4" s="1"/>
  <c r="BQ51" i="4"/>
  <c r="BP51" i="4"/>
  <c r="BM51" i="4"/>
  <c r="BL51" i="4"/>
  <c r="BJ51" i="4"/>
  <c r="BI51" i="4"/>
  <c r="BH51" i="4"/>
  <c r="BG51" i="4"/>
  <c r="BF51" i="4"/>
  <c r="BE51" i="4"/>
  <c r="BD51" i="4"/>
  <c r="BC51" i="4"/>
  <c r="BB51" i="4"/>
  <c r="BA51" i="4"/>
  <c r="AY51" i="4"/>
  <c r="AE51" i="4"/>
  <c r="AZ51" i="4" s="1"/>
  <c r="G51" i="4"/>
  <c r="DJ51" i="4" s="1"/>
  <c r="DH50" i="4"/>
  <c r="DF50" i="4"/>
  <c r="DD50" i="4"/>
  <c r="DC50" i="4"/>
  <c r="DB50" i="4"/>
  <c r="DA50" i="4"/>
  <c r="CZ50" i="4"/>
  <c r="CY50" i="4"/>
  <c r="CX50" i="4"/>
  <c r="CW50" i="4"/>
  <c r="CV50" i="4"/>
  <c r="CU50" i="4"/>
  <c r="CT50" i="4"/>
  <c r="CS50" i="4"/>
  <c r="CR50" i="4"/>
  <c r="CP50" i="4"/>
  <c r="CL50" i="4"/>
  <c r="BV50" i="4"/>
  <c r="CQ50" i="4" s="1"/>
  <c r="BQ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Y50" i="4"/>
  <c r="AU50" i="4"/>
  <c r="BP50" i="4" s="1"/>
  <c r="AE50" i="4"/>
  <c r="AZ50" i="4" s="1"/>
  <c r="G50" i="4"/>
  <c r="DJ50" i="4" s="1"/>
  <c r="DG49" i="4"/>
  <c r="DF49" i="4"/>
  <c r="DD49" i="4"/>
  <c r="DB49" i="4"/>
  <c r="DA49" i="4"/>
  <c r="CZ49" i="4"/>
  <c r="CY49" i="4"/>
  <c r="CX49" i="4"/>
  <c r="CW49" i="4"/>
  <c r="CV49" i="4"/>
  <c r="CU49" i="4"/>
  <c r="CT49" i="4"/>
  <c r="CS49" i="4"/>
  <c r="CR49" i="4"/>
  <c r="CQ49" i="4"/>
  <c r="CP49" i="4"/>
  <c r="CH49" i="4"/>
  <c r="BS49" i="4" s="1"/>
  <c r="BP49" i="4"/>
  <c r="BM49" i="4"/>
  <c r="BL49" i="4"/>
  <c r="BJ49" i="4"/>
  <c r="BI49" i="4"/>
  <c r="BH49" i="4"/>
  <c r="BG49" i="4"/>
  <c r="BF49" i="4"/>
  <c r="BE49" i="4"/>
  <c r="BD49" i="4"/>
  <c r="BC49" i="4"/>
  <c r="BB49" i="4"/>
  <c r="BA49" i="4"/>
  <c r="AZ49" i="4"/>
  <c r="AY49" i="4"/>
  <c r="AQ49" i="4"/>
  <c r="AB49" i="4" s="1"/>
  <c r="Z49" i="4"/>
  <c r="DH48" i="4"/>
  <c r="DG48" i="4"/>
  <c r="DF48" i="4"/>
  <c r="DD48" i="4"/>
  <c r="DB48" i="4"/>
  <c r="DA48" i="4"/>
  <c r="CZ48" i="4"/>
  <c r="CY48" i="4"/>
  <c r="CX48" i="4"/>
  <c r="CW48" i="4"/>
  <c r="CV48" i="4"/>
  <c r="CU48" i="4"/>
  <c r="CT48" i="4"/>
  <c r="CS48" i="4"/>
  <c r="CR48" i="4"/>
  <c r="CQ48" i="4"/>
  <c r="CP48" i="4"/>
  <c r="CH48" i="4"/>
  <c r="DC48" i="4" s="1"/>
  <c r="BQ48" i="4"/>
  <c r="BP48" i="4"/>
  <c r="BM48" i="4"/>
  <c r="BJ48" i="4"/>
  <c r="BI48" i="4"/>
  <c r="BH48" i="4"/>
  <c r="BG48" i="4"/>
  <c r="BF48" i="4"/>
  <c r="BE48" i="4"/>
  <c r="BD48" i="4"/>
  <c r="BC48" i="4"/>
  <c r="BB48" i="4"/>
  <c r="BA48" i="4"/>
  <c r="AZ48" i="4"/>
  <c r="AY48" i="4"/>
  <c r="AQ48" i="4"/>
  <c r="AB48" i="4" s="1"/>
  <c r="AA48" i="4" s="1"/>
  <c r="AW48" i="4" s="1"/>
  <c r="G48" i="4"/>
  <c r="DJ48" i="4" s="1"/>
  <c r="DH47" i="4"/>
  <c r="DG47" i="4"/>
  <c r="DF47" i="4"/>
  <c r="DD47" i="4"/>
  <c r="DB47" i="4"/>
  <c r="DA47" i="4"/>
  <c r="CZ47" i="4"/>
  <c r="CY47" i="4"/>
  <c r="CX47" i="4"/>
  <c r="CW47" i="4"/>
  <c r="CV47" i="4"/>
  <c r="CU47" i="4"/>
  <c r="CT47" i="4"/>
  <c r="CS47" i="4"/>
  <c r="CR47" i="4"/>
  <c r="CQ47" i="4"/>
  <c r="CP47" i="4"/>
  <c r="CH47" i="4"/>
  <c r="DC47" i="4" s="1"/>
  <c r="BQ47" i="4"/>
  <c r="BP47" i="4"/>
  <c r="BM47" i="4"/>
  <c r="BK47" i="4"/>
  <c r="BJ47" i="4"/>
  <c r="BI47" i="4"/>
  <c r="BH47" i="4"/>
  <c r="BG47" i="4"/>
  <c r="BF47" i="4"/>
  <c r="BE47" i="4"/>
  <c r="BD47" i="4"/>
  <c r="BC47" i="4"/>
  <c r="BB47" i="4"/>
  <c r="BA47" i="4"/>
  <c r="AZ47" i="4"/>
  <c r="AY47" i="4"/>
  <c r="AQ47" i="4"/>
  <c r="AB47" i="4" s="1"/>
  <c r="G47" i="4"/>
  <c r="DJ47" i="4" s="1"/>
  <c r="DJ46" i="4"/>
  <c r="DH46" i="4"/>
  <c r="DG46" i="4"/>
  <c r="DF46" i="4"/>
  <c r="DD46" i="4"/>
  <c r="DB46" i="4"/>
  <c r="DA46" i="4"/>
  <c r="CZ46" i="4"/>
  <c r="CY46" i="4"/>
  <c r="CX46" i="4"/>
  <c r="CW46" i="4"/>
  <c r="CV46" i="4"/>
  <c r="CU46" i="4"/>
  <c r="CT46" i="4"/>
  <c r="CS46" i="4"/>
  <c r="CR46" i="4"/>
  <c r="CQ46" i="4"/>
  <c r="CP46" i="4"/>
  <c r="CH46" i="4"/>
  <c r="DC46" i="4" s="1"/>
  <c r="BS46" i="4"/>
  <c r="BQ46" i="4"/>
  <c r="BP46" i="4"/>
  <c r="BO46" i="4"/>
  <c r="BM46" i="4"/>
  <c r="BK46" i="4"/>
  <c r="BJ46" i="4"/>
  <c r="BI46" i="4"/>
  <c r="BH46" i="4"/>
  <c r="BG46" i="4"/>
  <c r="BF46" i="4"/>
  <c r="BE46" i="4"/>
  <c r="BD46" i="4"/>
  <c r="BC46" i="4"/>
  <c r="BB46" i="4"/>
  <c r="BA46" i="4"/>
  <c r="AZ46" i="4"/>
  <c r="AY46" i="4"/>
  <c r="AQ46" i="4"/>
  <c r="BL46" i="4" s="1"/>
  <c r="G46" i="4"/>
  <c r="DJ45" i="4"/>
  <c r="DH45" i="4"/>
  <c r="DG45" i="4"/>
  <c r="DF45" i="4"/>
  <c r="DD45" i="4"/>
  <c r="DB45" i="4"/>
  <c r="DA45" i="4"/>
  <c r="CZ45" i="4"/>
  <c r="CY45" i="4"/>
  <c r="CX45" i="4"/>
  <c r="CW45" i="4"/>
  <c r="CV45" i="4"/>
  <c r="CU45" i="4"/>
  <c r="CT45" i="4"/>
  <c r="CS45" i="4"/>
  <c r="CR45" i="4"/>
  <c r="CQ45" i="4"/>
  <c r="CP45" i="4"/>
  <c r="CH45" i="4"/>
  <c r="BS45" i="4" s="1"/>
  <c r="BQ45" i="4"/>
  <c r="BP45" i="4"/>
  <c r="BM45" i="4"/>
  <c r="BJ45" i="4"/>
  <c r="BI45" i="4"/>
  <c r="BH45" i="4"/>
  <c r="BG45" i="4"/>
  <c r="BF45" i="4"/>
  <c r="BE45" i="4"/>
  <c r="BD45" i="4"/>
  <c r="BC45" i="4"/>
  <c r="BB45" i="4"/>
  <c r="BA45" i="4"/>
  <c r="AZ45" i="4"/>
  <c r="AY45" i="4"/>
  <c r="AQ45" i="4"/>
  <c r="AB45" i="4" s="1"/>
  <c r="U45" i="4"/>
  <c r="G45" i="4"/>
  <c r="DH44" i="4"/>
  <c r="DG44" i="4"/>
  <c r="DF44" i="4"/>
  <c r="DD44" i="4"/>
  <c r="DB44" i="4"/>
  <c r="DA44" i="4"/>
  <c r="CZ44" i="4"/>
  <c r="CY44" i="4"/>
  <c r="CX44" i="4"/>
  <c r="CW44" i="4"/>
  <c r="CV44" i="4"/>
  <c r="CU44" i="4"/>
  <c r="CT44" i="4"/>
  <c r="CS44" i="4"/>
  <c r="CR44" i="4"/>
  <c r="CQ44" i="4"/>
  <c r="CP44" i="4"/>
  <c r="CH44" i="4"/>
  <c r="BS44" i="4" s="1"/>
  <c r="BR44" i="4" s="1"/>
  <c r="CN44" i="4" s="1"/>
  <c r="BQ44" i="4"/>
  <c r="BP44" i="4"/>
  <c r="BO44" i="4"/>
  <c r="BM44" i="4"/>
  <c r="BK44" i="4"/>
  <c r="BJ44" i="4"/>
  <c r="BI44" i="4"/>
  <c r="BH44" i="4"/>
  <c r="BG44" i="4"/>
  <c r="BF44" i="4"/>
  <c r="BE44" i="4"/>
  <c r="BD44" i="4"/>
  <c r="BC44" i="4"/>
  <c r="BB44" i="4"/>
  <c r="BA44" i="4"/>
  <c r="AZ44" i="4"/>
  <c r="AY44" i="4"/>
  <c r="AQ44" i="4"/>
  <c r="AB44" i="4" s="1"/>
  <c r="U44" i="4"/>
  <c r="BL44" i="4" s="1"/>
  <c r="G44" i="4"/>
  <c r="DJ44" i="4" s="1"/>
  <c r="DH43" i="4"/>
  <c r="DG43" i="4"/>
  <c r="DF43" i="4"/>
  <c r="DD43" i="4"/>
  <c r="DC43" i="4"/>
  <c r="DB43" i="4"/>
  <c r="DA43" i="4"/>
  <c r="CY43" i="4"/>
  <c r="CX43" i="4"/>
  <c r="CW43" i="4"/>
  <c r="CV43" i="4"/>
  <c r="CU43" i="4"/>
  <c r="CT43" i="4"/>
  <c r="CS43" i="4"/>
  <c r="CR43" i="4"/>
  <c r="CQ43" i="4"/>
  <c r="CP43" i="4"/>
  <c r="CE43" i="4"/>
  <c r="BQ43" i="4"/>
  <c r="BP43" i="4"/>
  <c r="BO43" i="4"/>
  <c r="BM43" i="4"/>
  <c r="BL43" i="4"/>
  <c r="BK43" i="4"/>
  <c r="BJ43" i="4"/>
  <c r="BH43" i="4"/>
  <c r="BG43" i="4"/>
  <c r="BF43" i="4"/>
  <c r="BE43" i="4"/>
  <c r="BD43" i="4"/>
  <c r="BC43" i="4"/>
  <c r="BB43" i="4"/>
  <c r="BA43" i="4"/>
  <c r="AZ43" i="4"/>
  <c r="AY43" i="4"/>
  <c r="AN43" i="4"/>
  <c r="AB43" i="4"/>
  <c r="R43" i="4"/>
  <c r="R140" i="4" s="1"/>
  <c r="G43" i="4"/>
  <c r="DJ43" i="4" s="1"/>
  <c r="DH42" i="4"/>
  <c r="DG42" i="4"/>
  <c r="DF42" i="4"/>
  <c r="DD42" i="4"/>
  <c r="DC42" i="4"/>
  <c r="DB42" i="4"/>
  <c r="DA42" i="4"/>
  <c r="CZ42" i="4"/>
  <c r="CY42" i="4"/>
  <c r="CX42" i="4"/>
  <c r="CW42" i="4"/>
  <c r="CV42" i="4"/>
  <c r="CU42" i="4"/>
  <c r="CT42" i="4"/>
  <c r="CS42" i="4"/>
  <c r="CR42" i="4"/>
  <c r="CQ42" i="4"/>
  <c r="CP42" i="4"/>
  <c r="BS42" i="4"/>
  <c r="BQ42" i="4"/>
  <c r="BP42" i="4"/>
  <c r="BM42" i="4"/>
  <c r="BL42" i="4"/>
  <c r="BK42" i="4"/>
  <c r="BJ42" i="4"/>
  <c r="BI42" i="4"/>
  <c r="BH42" i="4"/>
  <c r="BG42" i="4"/>
  <c r="BF42" i="4"/>
  <c r="BE42" i="4"/>
  <c r="AX42" i="4" s="1"/>
  <c r="BD42" i="4"/>
  <c r="BC42" i="4"/>
  <c r="BB42" i="4"/>
  <c r="BA42" i="4"/>
  <c r="AZ42" i="4"/>
  <c r="AY42" i="4"/>
  <c r="AB42" i="4"/>
  <c r="Z42" i="4"/>
  <c r="G42" i="4" s="1"/>
  <c r="DJ42" i="4" s="1"/>
  <c r="DH41" i="4"/>
  <c r="DF41" i="4"/>
  <c r="DD41" i="4"/>
  <c r="DC41" i="4"/>
  <c r="DB41" i="4"/>
  <c r="CZ41" i="4"/>
  <c r="CY41" i="4"/>
  <c r="CX41" i="4"/>
  <c r="CW41" i="4"/>
  <c r="CV41" i="4"/>
  <c r="CU41" i="4"/>
  <c r="CT41" i="4"/>
  <c r="CS41" i="4"/>
  <c r="CR41" i="4"/>
  <c r="CQ41" i="4"/>
  <c r="CP41" i="4"/>
  <c r="CL41" i="4"/>
  <c r="CF41" i="4"/>
  <c r="BS41" i="4" s="1"/>
  <c r="BQ41" i="4"/>
  <c r="BM41" i="4"/>
  <c r="BL41" i="4"/>
  <c r="BK41" i="4"/>
  <c r="BI41" i="4"/>
  <c r="BH41" i="4"/>
  <c r="BG41" i="4"/>
  <c r="BF41" i="4"/>
  <c r="BE41" i="4"/>
  <c r="BD41" i="4"/>
  <c r="BC41" i="4"/>
  <c r="BB41" i="4"/>
  <c r="BA41" i="4"/>
  <c r="AZ41" i="4"/>
  <c r="AY41" i="4"/>
  <c r="AU41" i="4"/>
  <c r="AU140" i="4" s="1"/>
  <c r="AO41" i="4"/>
  <c r="BJ41" i="4" s="1"/>
  <c r="Y41" i="4"/>
  <c r="G41" i="4"/>
  <c r="DG40" i="4"/>
  <c r="DF40" i="4"/>
  <c r="DD40" i="4"/>
  <c r="DB40" i="4"/>
  <c r="CZ40" i="4"/>
  <c r="CY40" i="4"/>
  <c r="CX40" i="4"/>
  <c r="CW40" i="4"/>
  <c r="CV40" i="4"/>
  <c r="CU40" i="4"/>
  <c r="CT40" i="4"/>
  <c r="CS40" i="4"/>
  <c r="CR40" i="4"/>
  <c r="CQ40" i="4"/>
  <c r="CP40" i="4"/>
  <c r="CM40" i="4"/>
  <c r="DH40" i="4" s="1"/>
  <c r="CF40" i="4"/>
  <c r="DA40" i="4" s="1"/>
  <c r="BP40" i="4"/>
  <c r="BM40" i="4"/>
  <c r="BK40" i="4"/>
  <c r="BI40" i="4"/>
  <c r="BH40" i="4"/>
  <c r="BG40" i="4"/>
  <c r="BF40" i="4"/>
  <c r="BE40" i="4"/>
  <c r="BD40" i="4"/>
  <c r="BC40" i="4"/>
  <c r="BB40" i="4"/>
  <c r="BA40" i="4"/>
  <c r="AZ40" i="4"/>
  <c r="AY40" i="4"/>
  <c r="AV40" i="4"/>
  <c r="AQ40" i="4"/>
  <c r="AO40" i="4"/>
  <c r="BJ40" i="4" s="1"/>
  <c r="Z40" i="4"/>
  <c r="G40" i="4"/>
  <c r="DJ40" i="4" s="1"/>
  <c r="DH39" i="4"/>
  <c r="DG39" i="4"/>
  <c r="DF39" i="4"/>
  <c r="DD39" i="4"/>
  <c r="DC39" i="4"/>
  <c r="DB39" i="4"/>
  <c r="CZ39" i="4"/>
  <c r="CY39" i="4"/>
  <c r="CX39" i="4"/>
  <c r="CW39" i="4"/>
  <c r="CV39" i="4"/>
  <c r="CU39" i="4"/>
  <c r="CT39" i="4"/>
  <c r="CS39" i="4"/>
  <c r="CR39" i="4"/>
  <c r="CQ39" i="4"/>
  <c r="CP39" i="4"/>
  <c r="CF39" i="4"/>
  <c r="BS39" i="4" s="1"/>
  <c r="BR39" i="4" s="1"/>
  <c r="CN39" i="4" s="1"/>
  <c r="BQ39" i="4"/>
  <c r="BP39" i="4"/>
  <c r="BM39" i="4"/>
  <c r="BL39" i="4"/>
  <c r="BK39" i="4"/>
  <c r="BI39" i="4"/>
  <c r="BH39" i="4"/>
  <c r="BG39" i="4"/>
  <c r="BF39" i="4"/>
  <c r="BE39" i="4"/>
  <c r="BD39" i="4"/>
  <c r="BC39" i="4"/>
  <c r="BB39" i="4"/>
  <c r="BA39" i="4"/>
  <c r="AZ39" i="4"/>
  <c r="AY39" i="4"/>
  <c r="AO39" i="4"/>
  <c r="AB39" i="4" s="1"/>
  <c r="AA39" i="4" s="1"/>
  <c r="AW39" i="4" s="1"/>
  <c r="G39" i="4"/>
  <c r="DJ39" i="4" s="1"/>
  <c r="DH38" i="4"/>
  <c r="DG38" i="4"/>
  <c r="DF38" i="4"/>
  <c r="DD38" i="4"/>
  <c r="DB38" i="4"/>
  <c r="DA38" i="4"/>
  <c r="CZ38" i="4"/>
  <c r="CY38" i="4"/>
  <c r="CX38" i="4"/>
  <c r="CW38" i="4"/>
  <c r="CV38" i="4"/>
  <c r="CU38" i="4"/>
  <c r="CT38" i="4"/>
  <c r="CS38" i="4"/>
  <c r="CR38" i="4"/>
  <c r="CQ38" i="4"/>
  <c r="CP38" i="4"/>
  <c r="CH38" i="4"/>
  <c r="DC38" i="4" s="1"/>
  <c r="BQ38" i="4"/>
  <c r="BP38" i="4"/>
  <c r="BO38" i="4"/>
  <c r="BM38" i="4"/>
  <c r="BK38" i="4"/>
  <c r="BJ38" i="4"/>
  <c r="BI38" i="4"/>
  <c r="BH38" i="4"/>
  <c r="BG38" i="4"/>
  <c r="BF38" i="4"/>
  <c r="BE38" i="4"/>
  <c r="BD38" i="4"/>
  <c r="BC38" i="4"/>
  <c r="BB38" i="4"/>
  <c r="BA38" i="4"/>
  <c r="AZ38" i="4"/>
  <c r="AY38" i="4"/>
  <c r="AQ38" i="4"/>
  <c r="AB38" i="4" s="1"/>
  <c r="G38" i="4"/>
  <c r="DJ38" i="4" s="1"/>
  <c r="DH37" i="4"/>
  <c r="DG37" i="4"/>
  <c r="DF37" i="4"/>
  <c r="DD37" i="4"/>
  <c r="DB37" i="4"/>
  <c r="DA37" i="4"/>
  <c r="CZ37" i="4"/>
  <c r="CY37" i="4"/>
  <c r="CX37" i="4"/>
  <c r="CW37" i="4"/>
  <c r="CV37" i="4"/>
  <c r="CU37" i="4"/>
  <c r="CT37" i="4"/>
  <c r="CS37" i="4"/>
  <c r="CR37" i="4"/>
  <c r="CQ37" i="4"/>
  <c r="CP37" i="4"/>
  <c r="CH37" i="4"/>
  <c r="BS37" i="4" s="1"/>
  <c r="BQ37" i="4"/>
  <c r="BM37" i="4"/>
  <c r="BK37" i="4"/>
  <c r="BJ37" i="4"/>
  <c r="BI37" i="4"/>
  <c r="BH37" i="4"/>
  <c r="BG37" i="4"/>
  <c r="BF37" i="4"/>
  <c r="BE37" i="4"/>
  <c r="BD37" i="4"/>
  <c r="BC37" i="4"/>
  <c r="BB37" i="4"/>
  <c r="BA37" i="4"/>
  <c r="AZ37" i="4"/>
  <c r="AY37" i="4"/>
  <c r="AQ37" i="4"/>
  <c r="AB37" i="4" s="1"/>
  <c r="U37" i="4"/>
  <c r="DH36" i="4"/>
  <c r="DG36" i="4"/>
  <c r="DF36" i="4"/>
  <c r="DD36" i="4"/>
  <c r="DB36" i="4"/>
  <c r="DA36" i="4"/>
  <c r="CZ36" i="4"/>
  <c r="CY36" i="4"/>
  <c r="CX36" i="4"/>
  <c r="CW36" i="4"/>
  <c r="CV36" i="4"/>
  <c r="CU36" i="4"/>
  <c r="CT36" i="4"/>
  <c r="CS36" i="4"/>
  <c r="CR36" i="4"/>
  <c r="CQ36" i="4"/>
  <c r="CP36" i="4"/>
  <c r="CH36" i="4"/>
  <c r="DC36" i="4" s="1"/>
  <c r="BS36" i="4"/>
  <c r="BM36" i="4"/>
  <c r="BL36" i="4"/>
  <c r="BK36" i="4"/>
  <c r="BJ36" i="4"/>
  <c r="BI36" i="4"/>
  <c r="BH36" i="4"/>
  <c r="BG36" i="4"/>
  <c r="BF36" i="4"/>
  <c r="BE36" i="4"/>
  <c r="BD36" i="4"/>
  <c r="BC36" i="4"/>
  <c r="BB36" i="4"/>
  <c r="BA36" i="4"/>
  <c r="AZ36" i="4"/>
  <c r="AY36" i="4"/>
  <c r="AV36" i="4"/>
  <c r="BQ36" i="4" s="1"/>
  <c r="AQ36" i="4"/>
  <c r="G36" i="4"/>
  <c r="DJ36" i="4" s="1"/>
  <c r="DJ35" i="4"/>
  <c r="DH35" i="4"/>
  <c r="DG35" i="4"/>
  <c r="DF35" i="4"/>
  <c r="DD35" i="4"/>
  <c r="DB35" i="4"/>
  <c r="DA35" i="4"/>
  <c r="CZ35" i="4"/>
  <c r="CY35" i="4"/>
  <c r="CX35" i="4"/>
  <c r="CW35" i="4"/>
  <c r="CV35" i="4"/>
  <c r="CU35" i="4"/>
  <c r="CT35" i="4"/>
  <c r="CS35" i="4"/>
  <c r="CR35" i="4"/>
  <c r="CQ35" i="4"/>
  <c r="CP35" i="4"/>
  <c r="CO35" i="4" s="1"/>
  <c r="CH35" i="4"/>
  <c r="DC35" i="4" s="1"/>
  <c r="BQ35" i="4"/>
  <c r="BM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Q35" i="4"/>
  <c r="BL35" i="4" s="1"/>
  <c r="AB35" i="4"/>
  <c r="G35" i="4"/>
  <c r="DH34" i="4"/>
  <c r="DG34" i="4"/>
  <c r="DF34" i="4"/>
  <c r="DD34" i="4"/>
  <c r="DB34" i="4"/>
  <c r="DA34" i="4"/>
  <c r="CZ34" i="4"/>
  <c r="CY34" i="4"/>
  <c r="CX34" i="4"/>
  <c r="CW34" i="4"/>
  <c r="CV34" i="4"/>
  <c r="CU34" i="4"/>
  <c r="CT34" i="4"/>
  <c r="CS34" i="4"/>
  <c r="CR34" i="4"/>
  <c r="CQ34" i="4"/>
  <c r="CP34" i="4"/>
  <c r="CJ34" i="4"/>
  <c r="CJ140" i="4" s="1"/>
  <c r="CH34" i="4"/>
  <c r="DC34" i="4" s="1"/>
  <c r="BQ34" i="4"/>
  <c r="BM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S34" i="4"/>
  <c r="AS140" i="4" s="1"/>
  <c r="AQ34" i="4"/>
  <c r="BL34" i="4" s="1"/>
  <c r="W34" i="4"/>
  <c r="BN34" i="4" s="1"/>
  <c r="BN140" i="4" s="1"/>
  <c r="G34" i="4"/>
  <c r="DJ34" i="4" s="1"/>
  <c r="DG33" i="4"/>
  <c r="DF33" i="4"/>
  <c r="DD33" i="4"/>
  <c r="DC33" i="4"/>
  <c r="DB33" i="4"/>
  <c r="DA33" i="4"/>
  <c r="CZ33" i="4"/>
  <c r="CY33" i="4"/>
  <c r="CX33" i="4"/>
  <c r="CW33" i="4"/>
  <c r="CV33" i="4"/>
  <c r="CU33" i="4"/>
  <c r="CT33" i="4"/>
  <c r="CS33" i="4"/>
  <c r="CR33" i="4"/>
  <c r="CQ33" i="4"/>
  <c r="CP33" i="4"/>
  <c r="CM33" i="4"/>
  <c r="BS33" i="4" s="1"/>
  <c r="BM33" i="4"/>
  <c r="BL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V33" i="4"/>
  <c r="AB33" i="4" s="1"/>
  <c r="Z33" i="4"/>
  <c r="G33" i="4"/>
  <c r="DJ33" i="4" s="1"/>
  <c r="DG32" i="4"/>
  <c r="DF32" i="4"/>
  <c r="DD32" i="4"/>
  <c r="DC32" i="4"/>
  <c r="DB32" i="4"/>
  <c r="DA32" i="4"/>
  <c r="CZ32" i="4"/>
  <c r="CY32" i="4"/>
  <c r="CX32" i="4"/>
  <c r="CW32" i="4"/>
  <c r="CV32" i="4"/>
  <c r="CU32" i="4"/>
  <c r="CT32" i="4"/>
  <c r="CS32" i="4"/>
  <c r="CR32" i="4"/>
  <c r="CQ32" i="4"/>
  <c r="CP32" i="4"/>
  <c r="CM32" i="4"/>
  <c r="BS32" i="4"/>
  <c r="BM32" i="4"/>
  <c r="BL32" i="4"/>
  <c r="BJ32" i="4"/>
  <c r="BI32" i="4"/>
  <c r="BH32" i="4"/>
  <c r="BG32" i="4"/>
  <c r="BF32" i="4"/>
  <c r="BE32" i="4"/>
  <c r="BD32" i="4"/>
  <c r="BC32" i="4"/>
  <c r="BB32" i="4"/>
  <c r="BA32" i="4"/>
  <c r="AZ32" i="4"/>
  <c r="AY32" i="4"/>
  <c r="AV32" i="4"/>
  <c r="AB32" i="4" s="1"/>
  <c r="AA32" i="4" s="1"/>
  <c r="AW32" i="4" s="1"/>
  <c r="Z32" i="4"/>
  <c r="G32" i="4"/>
  <c r="DJ32" i="4" s="1"/>
  <c r="DH31" i="4"/>
  <c r="DG31" i="4"/>
  <c r="DF31" i="4"/>
  <c r="DD31" i="4"/>
  <c r="DB31" i="4"/>
  <c r="DA31" i="4"/>
  <c r="CZ31" i="4"/>
  <c r="CY31" i="4"/>
  <c r="CX31" i="4"/>
  <c r="CW31" i="4"/>
  <c r="CV31" i="4"/>
  <c r="CU31" i="4"/>
  <c r="CT31" i="4"/>
  <c r="CS31" i="4"/>
  <c r="CR31" i="4"/>
  <c r="CQ31" i="4"/>
  <c r="CP31" i="4"/>
  <c r="CH31" i="4"/>
  <c r="BQ31" i="4"/>
  <c r="BM31" i="4"/>
  <c r="BK31" i="4"/>
  <c r="BJ31" i="4"/>
  <c r="BI31" i="4"/>
  <c r="BH31" i="4"/>
  <c r="BH60" i="4" s="1"/>
  <c r="BG31" i="4"/>
  <c r="BF31" i="4"/>
  <c r="BE31" i="4"/>
  <c r="BD31" i="4"/>
  <c r="BC31" i="4"/>
  <c r="BB31" i="4"/>
  <c r="BA31" i="4"/>
  <c r="AZ31" i="4"/>
  <c r="AY31" i="4"/>
  <c r="AQ31" i="4"/>
  <c r="BL31" i="4" s="1"/>
  <c r="G31" i="4"/>
  <c r="DJ31" i="4" s="1"/>
  <c r="DH30" i="4"/>
  <c r="DG30" i="4"/>
  <c r="DF30" i="4"/>
  <c r="DD30" i="4"/>
  <c r="DC30" i="4"/>
  <c r="DB30" i="4"/>
  <c r="DA30" i="4"/>
  <c r="CY30" i="4"/>
  <c r="CX30" i="4"/>
  <c r="CW30" i="4"/>
  <c r="CV30" i="4"/>
  <c r="CU30" i="4"/>
  <c r="CT30" i="4"/>
  <c r="CS30" i="4"/>
  <c r="CR30" i="4"/>
  <c r="CQ30" i="4"/>
  <c r="CP30" i="4"/>
  <c r="CH30" i="4"/>
  <c r="CE30" i="4"/>
  <c r="BS30" i="4" s="1"/>
  <c r="BQ30" i="4"/>
  <c r="BM30" i="4"/>
  <c r="BK30" i="4"/>
  <c r="BJ30" i="4"/>
  <c r="BI30" i="4"/>
  <c r="BH30" i="4"/>
  <c r="BG30" i="4"/>
  <c r="BF30" i="4"/>
  <c r="BE30" i="4"/>
  <c r="BD30" i="4"/>
  <c r="BC30" i="4"/>
  <c r="BB30" i="4"/>
  <c r="BA30" i="4"/>
  <c r="AZ30" i="4"/>
  <c r="AY30" i="4"/>
  <c r="AQ30" i="4"/>
  <c r="BL30" i="4" s="1"/>
  <c r="AN30" i="4"/>
  <c r="G30" i="4"/>
  <c r="DJ30" i="4" s="1"/>
  <c r="DH29" i="4"/>
  <c r="DG29" i="4"/>
  <c r="DF29" i="4"/>
  <c r="DD29" i="4"/>
  <c r="DB29" i="4"/>
  <c r="DA29" i="4"/>
  <c r="CZ29" i="4"/>
  <c r="CY29" i="4"/>
  <c r="CX29" i="4"/>
  <c r="CW29" i="4"/>
  <c r="CV29" i="4"/>
  <c r="CU29" i="4"/>
  <c r="CT29" i="4"/>
  <c r="CS29" i="4"/>
  <c r="CR29" i="4"/>
  <c r="CQ29" i="4"/>
  <c r="CP29" i="4"/>
  <c r="CH29" i="4"/>
  <c r="BS29" i="4" s="1"/>
  <c r="BQ29" i="4"/>
  <c r="BM29" i="4"/>
  <c r="BK29" i="4"/>
  <c r="BJ29" i="4"/>
  <c r="BI29" i="4"/>
  <c r="BH29" i="4"/>
  <c r="BG29" i="4"/>
  <c r="BF29" i="4"/>
  <c r="BE29" i="4"/>
  <c r="BD29" i="4"/>
  <c r="BC29" i="4"/>
  <c r="BB29" i="4"/>
  <c r="BA29" i="4"/>
  <c r="AZ29" i="4"/>
  <c r="AY29" i="4"/>
  <c r="AQ29" i="4"/>
  <c r="AB29" i="4"/>
  <c r="U29" i="4"/>
  <c r="DH28" i="4"/>
  <c r="DG28" i="4"/>
  <c r="DF28" i="4"/>
  <c r="DD28" i="4"/>
  <c r="DB28" i="4"/>
  <c r="DA28" i="4"/>
  <c r="CZ28" i="4"/>
  <c r="CY28" i="4"/>
  <c r="CX28" i="4"/>
  <c r="CW28" i="4"/>
  <c r="CV28" i="4"/>
  <c r="CU28" i="4"/>
  <c r="CT28" i="4"/>
  <c r="CS28" i="4"/>
  <c r="CR28" i="4"/>
  <c r="CQ28" i="4"/>
  <c r="CP28" i="4"/>
  <c r="BS28" i="4"/>
  <c r="BQ28" i="4"/>
  <c r="BM28" i="4"/>
  <c r="BK28" i="4"/>
  <c r="BJ28" i="4"/>
  <c r="BI28" i="4"/>
  <c r="BH28" i="4"/>
  <c r="BG28" i="4"/>
  <c r="BF28" i="4"/>
  <c r="BE28" i="4"/>
  <c r="BD28" i="4"/>
  <c r="BC28" i="4"/>
  <c r="BB28" i="4"/>
  <c r="BA28" i="4"/>
  <c r="AZ28" i="4"/>
  <c r="AY28" i="4"/>
  <c r="AB28" i="4"/>
  <c r="U28" i="4"/>
  <c r="G28" i="4"/>
  <c r="DJ28" i="4" s="1"/>
  <c r="DH27" i="4"/>
  <c r="DG27" i="4"/>
  <c r="DF27" i="4"/>
  <c r="DD27" i="4"/>
  <c r="DB27" i="4"/>
  <c r="DA27" i="4"/>
  <c r="CZ27" i="4"/>
  <c r="CY27" i="4"/>
  <c r="CX27" i="4"/>
  <c r="CW27" i="4"/>
  <c r="CV27" i="4"/>
  <c r="CU27" i="4"/>
  <c r="CT27" i="4"/>
  <c r="CS27" i="4"/>
  <c r="CR27" i="4"/>
  <c r="CQ27" i="4"/>
  <c r="CP27" i="4"/>
  <c r="CH27" i="4"/>
  <c r="BS27" i="4" s="1"/>
  <c r="BQ27" i="4"/>
  <c r="BM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Q27" i="4"/>
  <c r="AB27" i="4" s="1"/>
  <c r="G27" i="4"/>
  <c r="DJ27" i="4" s="1"/>
  <c r="DH26" i="4"/>
  <c r="DG26" i="4"/>
  <c r="DF26" i="4"/>
  <c r="DD26" i="4"/>
  <c r="DB26" i="4"/>
  <c r="DA26" i="4"/>
  <c r="CZ26" i="4"/>
  <c r="CY26" i="4"/>
  <c r="CX26" i="4"/>
  <c r="CW26" i="4"/>
  <c r="CV26" i="4"/>
  <c r="CU26" i="4"/>
  <c r="CT26" i="4"/>
  <c r="CS26" i="4"/>
  <c r="CR26" i="4"/>
  <c r="CQ26" i="4"/>
  <c r="CP26" i="4"/>
  <c r="CH26" i="4"/>
  <c r="DC26" i="4" s="1"/>
  <c r="BQ26" i="4"/>
  <c r="BM26" i="4"/>
  <c r="BK26" i="4"/>
  <c r="BJ26" i="4"/>
  <c r="BI26" i="4"/>
  <c r="BH26" i="4"/>
  <c r="BG26" i="4"/>
  <c r="BF26" i="4"/>
  <c r="BE26" i="4"/>
  <c r="BD26" i="4"/>
  <c r="BC26" i="4"/>
  <c r="BB26" i="4"/>
  <c r="BA26" i="4"/>
  <c r="AZ26" i="4"/>
  <c r="AY26" i="4"/>
  <c r="AQ26" i="4"/>
  <c r="AB26" i="4" s="1"/>
  <c r="G26" i="4"/>
  <c r="DJ26" i="4" s="1"/>
  <c r="CQ25" i="4"/>
  <c r="CO25" i="4" s="1"/>
  <c r="BS25" i="4"/>
  <c r="BR25" i="4"/>
  <c r="CN25" i="4" s="1"/>
  <c r="AZ25" i="4"/>
  <c r="AX25" i="4" s="1"/>
  <c r="AW25" i="4"/>
  <c r="AE25" i="4"/>
  <c r="AB25" i="4" s="1"/>
  <c r="AA25" i="4" s="1"/>
  <c r="G25" i="4"/>
  <c r="BV24" i="4"/>
  <c r="AE24" i="4"/>
  <c r="G24" i="4"/>
  <c r="DH23" i="4"/>
  <c r="DG23" i="4"/>
  <c r="DF23" i="4"/>
  <c r="DF60" i="4" s="1"/>
  <c r="DD23" i="4"/>
  <c r="DC23" i="4"/>
  <c r="DB23" i="4"/>
  <c r="DA23" i="4"/>
  <c r="CZ23" i="4"/>
  <c r="CY23" i="4"/>
  <c r="CX23" i="4"/>
  <c r="CW23" i="4"/>
  <c r="CV23" i="4"/>
  <c r="CV60" i="4" s="1"/>
  <c r="CU23" i="4"/>
  <c r="CT23" i="4"/>
  <c r="CS23" i="4"/>
  <c r="CR23" i="4"/>
  <c r="CQ23" i="4"/>
  <c r="CP23" i="4"/>
  <c r="BV23" i="4"/>
  <c r="BS23" i="4" s="1"/>
  <c r="BM23" i="4"/>
  <c r="BL23" i="4"/>
  <c r="BK23" i="4"/>
  <c r="BJ23" i="4"/>
  <c r="BI23" i="4"/>
  <c r="BH23" i="4"/>
  <c r="BG23" i="4"/>
  <c r="BF23" i="4"/>
  <c r="BE23" i="4"/>
  <c r="BD23" i="4"/>
  <c r="BC23" i="4"/>
  <c r="BB23" i="4"/>
  <c r="BA23" i="4"/>
  <c r="AY23" i="4"/>
  <c r="AV23" i="4"/>
  <c r="AE23" i="4"/>
  <c r="I23" i="4"/>
  <c r="I140" i="4" s="1"/>
  <c r="G23" i="4"/>
  <c r="DJ23" i="4" s="1"/>
  <c r="DJ22" i="4"/>
  <c r="DH22" i="4"/>
  <c r="DG22" i="4"/>
  <c r="DF22" i="4"/>
  <c r="DD22" i="4"/>
  <c r="DC22" i="4"/>
  <c r="DB22" i="4"/>
  <c r="DA22" i="4"/>
  <c r="CZ22" i="4"/>
  <c r="CY22" i="4"/>
  <c r="CX22" i="4"/>
  <c r="CX60" i="4" s="1"/>
  <c r="CW22" i="4"/>
  <c r="CV22" i="4"/>
  <c r="CU22" i="4"/>
  <c r="CT22" i="4"/>
  <c r="CS22" i="4"/>
  <c r="CR22" i="4"/>
  <c r="CP22" i="4"/>
  <c r="BV22" i="4"/>
  <c r="BS22" i="4" s="1"/>
  <c r="BR22" i="4" s="1"/>
  <c r="CN22" i="4" s="1"/>
  <c r="BQ22" i="4"/>
  <c r="BM22" i="4"/>
  <c r="BL22" i="4"/>
  <c r="BK22" i="4"/>
  <c r="BJ22" i="4"/>
  <c r="BI22" i="4"/>
  <c r="BH22" i="4"/>
  <c r="BG22" i="4"/>
  <c r="BF22" i="4"/>
  <c r="BE22" i="4"/>
  <c r="BD22" i="4"/>
  <c r="BC22" i="4"/>
  <c r="BB22" i="4"/>
  <c r="BA22" i="4"/>
  <c r="AY22" i="4"/>
  <c r="AE22" i="4"/>
  <c r="G22" i="4"/>
  <c r="DH21" i="4"/>
  <c r="DG21" i="4"/>
  <c r="DF21" i="4"/>
  <c r="DD21" i="4"/>
  <c r="DC21" i="4"/>
  <c r="DB21" i="4"/>
  <c r="DA21" i="4"/>
  <c r="CZ21" i="4"/>
  <c r="CY21" i="4"/>
  <c r="CX21" i="4"/>
  <c r="CW21" i="4"/>
  <c r="CV21" i="4"/>
  <c r="CU21" i="4"/>
  <c r="CU140" i="4" s="1"/>
  <c r="CT21" i="4"/>
  <c r="CS21" i="4"/>
  <c r="CR21" i="4"/>
  <c r="CP21" i="4"/>
  <c r="BV21" i="4"/>
  <c r="BQ21" i="4"/>
  <c r="BM21" i="4"/>
  <c r="BL21" i="4"/>
  <c r="BK21" i="4"/>
  <c r="BJ21" i="4"/>
  <c r="BI21" i="4"/>
  <c r="BH21" i="4"/>
  <c r="BG21" i="4"/>
  <c r="BF21" i="4"/>
  <c r="BE21" i="4"/>
  <c r="BD21" i="4"/>
  <c r="BC21" i="4"/>
  <c r="BB21" i="4"/>
  <c r="BA21" i="4"/>
  <c r="AY21" i="4"/>
  <c r="AE21" i="4"/>
  <c r="AB21" i="4" s="1"/>
  <c r="AA21" i="4" s="1"/>
  <c r="AW21" i="4" s="1"/>
  <c r="G21" i="4"/>
  <c r="DE20" i="4"/>
  <c r="CL20" i="4"/>
  <c r="CK20" i="4"/>
  <c r="CI20" i="4"/>
  <c r="CH20" i="4"/>
  <c r="CE20" i="4"/>
  <c r="CD20" i="4"/>
  <c r="CC20" i="4"/>
  <c r="CB20" i="4"/>
  <c r="CB135" i="4" s="1"/>
  <c r="CB147" i="4" s="1"/>
  <c r="CA20" i="4"/>
  <c r="CA135" i="4" s="1"/>
  <c r="CA147" i="4" s="1"/>
  <c r="BZ20" i="4"/>
  <c r="BZ135" i="4" s="1"/>
  <c r="BZ147" i="4" s="1"/>
  <c r="BW20" i="4"/>
  <c r="BU20" i="4"/>
  <c r="BT20" i="4"/>
  <c r="BT135" i="4" s="1"/>
  <c r="BL20" i="4"/>
  <c r="AU20" i="4"/>
  <c r="AT20" i="4"/>
  <c r="AS20" i="4"/>
  <c r="AR20" i="4"/>
  <c r="AQ20" i="4"/>
  <c r="AN20" i="4"/>
  <c r="AM20" i="4"/>
  <c r="AL20" i="4"/>
  <c r="AL135" i="4" s="1"/>
  <c r="AK20" i="4"/>
  <c r="AK135" i="4" s="1"/>
  <c r="AK147" i="4" s="1"/>
  <c r="AJ20" i="4"/>
  <c r="AI20" i="4"/>
  <c r="AI135" i="4" s="1"/>
  <c r="AF20" i="4"/>
  <c r="AD20" i="4"/>
  <c r="Y20" i="4"/>
  <c r="X20" i="4"/>
  <c r="V20" i="4"/>
  <c r="V135" i="4" s="1"/>
  <c r="U20" i="4"/>
  <c r="T20" i="4"/>
  <c r="S20" i="4"/>
  <c r="S135" i="4" s="1"/>
  <c r="R20" i="4"/>
  <c r="R135" i="4" s="1"/>
  <c r="Q20" i="4"/>
  <c r="P20" i="4"/>
  <c r="O20" i="4"/>
  <c r="N20" i="4"/>
  <c r="N135" i="4" s="1"/>
  <c r="M20" i="4"/>
  <c r="L20" i="4"/>
  <c r="J20" i="4"/>
  <c r="H20" i="4"/>
  <c r="DG19" i="4"/>
  <c r="DF19" i="4"/>
  <c r="DD19" i="4"/>
  <c r="DC19" i="4"/>
  <c r="DB19" i="4"/>
  <c r="DA19" i="4"/>
  <c r="CZ19" i="4"/>
  <c r="CY19" i="4"/>
  <c r="CX19" i="4"/>
  <c r="CW19" i="4"/>
  <c r="CV19" i="4"/>
  <c r="CU19" i="4"/>
  <c r="CT19" i="4"/>
  <c r="CR19" i="4"/>
  <c r="CQ19" i="4"/>
  <c r="CP19" i="4"/>
  <c r="CM19" i="4"/>
  <c r="BX19" i="4"/>
  <c r="BS19" i="4" s="1"/>
  <c r="BP19" i="4"/>
  <c r="BM19" i="4"/>
  <c r="BL19" i="4"/>
  <c r="BK19" i="4"/>
  <c r="BJ19" i="4"/>
  <c r="BI19" i="4"/>
  <c r="BH19" i="4"/>
  <c r="BG19" i="4"/>
  <c r="BF19" i="4"/>
  <c r="BE19" i="4"/>
  <c r="BD19" i="4"/>
  <c r="BC19" i="4"/>
  <c r="BA19" i="4"/>
  <c r="AZ19" i="4"/>
  <c r="AY19" i="4"/>
  <c r="AV19" i="4"/>
  <c r="BQ19" i="4" s="1"/>
  <c r="AG19" i="4"/>
  <c r="Z19" i="4"/>
  <c r="DH19" i="4" s="1"/>
  <c r="K19" i="4"/>
  <c r="G19" i="4"/>
  <c r="DJ19" i="4" s="1"/>
  <c r="DH18" i="4"/>
  <c r="DG18" i="4"/>
  <c r="DF18" i="4"/>
  <c r="DD18" i="4"/>
  <c r="DC18" i="4"/>
  <c r="DB18" i="4"/>
  <c r="DA18" i="4"/>
  <c r="CZ18" i="4"/>
  <c r="CY18" i="4"/>
  <c r="CX18" i="4"/>
  <c r="CW18" i="4"/>
  <c r="CV18" i="4"/>
  <c r="CU18" i="4"/>
  <c r="CT18" i="4"/>
  <c r="CR18" i="4"/>
  <c r="CQ18" i="4"/>
  <c r="CP18" i="4"/>
  <c r="BX18" i="4"/>
  <c r="CS18" i="4" s="1"/>
  <c r="BS18" i="4"/>
  <c r="BR18" i="4" s="1"/>
  <c r="CN18" i="4" s="1"/>
  <c r="BQ18" i="4"/>
  <c r="BP18" i="4"/>
  <c r="BM18" i="4"/>
  <c r="BL18" i="4"/>
  <c r="BK18" i="4"/>
  <c r="BJ18" i="4"/>
  <c r="BI18" i="4"/>
  <c r="BH18" i="4"/>
  <c r="BG18" i="4"/>
  <c r="BF18" i="4"/>
  <c r="BE18" i="4"/>
  <c r="BD18" i="4"/>
  <c r="BC18" i="4"/>
  <c r="BB18" i="4"/>
  <c r="BA18" i="4"/>
  <c r="AZ18" i="4"/>
  <c r="AY18" i="4"/>
  <c r="AG18" i="4"/>
  <c r="AB18" i="4" s="1"/>
  <c r="K18" i="4"/>
  <c r="G18" i="4"/>
  <c r="DJ18" i="4" s="1"/>
  <c r="DH17" i="4"/>
  <c r="DG17" i="4"/>
  <c r="DF17" i="4"/>
  <c r="DD17" i="4"/>
  <c r="DC17" i="4"/>
  <c r="DB17" i="4"/>
  <c r="DA17" i="4"/>
  <c r="CZ17" i="4"/>
  <c r="CY17" i="4"/>
  <c r="CX17" i="4"/>
  <c r="CW17" i="4"/>
  <c r="CV17" i="4"/>
  <c r="CU17" i="4"/>
  <c r="CT17" i="4"/>
  <c r="CR17" i="4"/>
  <c r="CQ17" i="4"/>
  <c r="CP17" i="4"/>
  <c r="BX17" i="4"/>
  <c r="BS17" i="4" s="1"/>
  <c r="BQ17" i="4"/>
  <c r="BP17" i="4"/>
  <c r="BO17" i="4"/>
  <c r="BM17" i="4"/>
  <c r="BL17" i="4"/>
  <c r="BK17" i="4"/>
  <c r="BJ17" i="4"/>
  <c r="BI17" i="4"/>
  <c r="BH17" i="4"/>
  <c r="BG17" i="4"/>
  <c r="BF17" i="4"/>
  <c r="BE17" i="4"/>
  <c r="BD17" i="4"/>
  <c r="BC17" i="4"/>
  <c r="BA17" i="4"/>
  <c r="AZ17" i="4"/>
  <c r="AY17" i="4"/>
  <c r="AG17" i="4"/>
  <c r="AB17" i="4" s="1"/>
  <c r="K17" i="4"/>
  <c r="G17" i="4" s="1"/>
  <c r="DJ17" i="4" s="1"/>
  <c r="DH16" i="4"/>
  <c r="DG16" i="4"/>
  <c r="DF16" i="4"/>
  <c r="DD16" i="4"/>
  <c r="DC16" i="4"/>
  <c r="DB16" i="4"/>
  <c r="DA16" i="4"/>
  <c r="CZ16" i="4"/>
  <c r="CY16" i="4"/>
  <c r="CX16" i="4"/>
  <c r="CW16" i="4"/>
  <c r="CV16" i="4"/>
  <c r="CU16" i="4"/>
  <c r="CT16" i="4"/>
  <c r="CS16" i="4"/>
  <c r="CR16" i="4"/>
  <c r="CQ16" i="4"/>
  <c r="CP16" i="4"/>
  <c r="BS16" i="4"/>
  <c r="BQ16" i="4"/>
  <c r="BP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 s="1"/>
  <c r="AB16" i="4"/>
  <c r="Z16" i="4"/>
  <c r="G16" i="4"/>
  <c r="DJ16" i="4" s="1"/>
  <c r="DH15" i="4"/>
  <c r="DG15" i="4"/>
  <c r="DF15" i="4"/>
  <c r="DD15" i="4"/>
  <c r="DC15" i="4"/>
  <c r="DB15" i="4"/>
  <c r="DA15" i="4"/>
  <c r="CZ15" i="4"/>
  <c r="CY15" i="4"/>
  <c r="CX15" i="4"/>
  <c r="CW15" i="4"/>
  <c r="CV15" i="4"/>
  <c r="CU15" i="4"/>
  <c r="CT15" i="4"/>
  <c r="CS15" i="4"/>
  <c r="CR15" i="4"/>
  <c r="CQ15" i="4"/>
  <c r="CP15" i="4"/>
  <c r="BX15" i="4"/>
  <c r="CF15" i="4" s="1"/>
  <c r="CF141" i="4" s="1"/>
  <c r="BQ15" i="4"/>
  <c r="BP15" i="4"/>
  <c r="BM15" i="4"/>
  <c r="BL15" i="4"/>
  <c r="BK15" i="4"/>
  <c r="BI15" i="4"/>
  <c r="BH15" i="4"/>
  <c r="BG15" i="4"/>
  <c r="BF15" i="4"/>
  <c r="BE15" i="4"/>
  <c r="BD15" i="4"/>
  <c r="BC15" i="4"/>
  <c r="BA15" i="4"/>
  <c r="AZ15" i="4"/>
  <c r="AY15" i="4"/>
  <c r="AO15" i="4"/>
  <c r="BJ15" i="4" s="1"/>
  <c r="AG15" i="4"/>
  <c r="BB15" i="4" s="1"/>
  <c r="G15" i="4"/>
  <c r="DJ15" i="4" s="1"/>
  <c r="DH14" i="4"/>
  <c r="DG14" i="4"/>
  <c r="DF14" i="4"/>
  <c r="DD14" i="4"/>
  <c r="DC14" i="4"/>
  <c r="DB14" i="4"/>
  <c r="DA14" i="4"/>
  <c r="CZ14" i="4"/>
  <c r="CY14" i="4"/>
  <c r="CX14" i="4"/>
  <c r="CW14" i="4"/>
  <c r="CV14" i="4"/>
  <c r="CU14" i="4"/>
  <c r="CT14" i="4"/>
  <c r="CR14" i="4"/>
  <c r="CQ14" i="4"/>
  <c r="CP14" i="4"/>
  <c r="BX14" i="4"/>
  <c r="BS14" i="4" s="1"/>
  <c r="BQ14" i="4"/>
  <c r="BP14" i="4"/>
  <c r="BO14" i="4"/>
  <c r="BM14" i="4"/>
  <c r="BL14" i="4"/>
  <c r="BK14" i="4"/>
  <c r="BJ14" i="4"/>
  <c r="BI14" i="4"/>
  <c r="BH14" i="4"/>
  <c r="BG14" i="4"/>
  <c r="BF14" i="4"/>
  <c r="BE14" i="4"/>
  <c r="BD14" i="4"/>
  <c r="BC14" i="4"/>
  <c r="BA14" i="4"/>
  <c r="AZ14" i="4"/>
  <c r="AY14" i="4"/>
  <c r="AG14" i="4"/>
  <c r="AB14" i="4" s="1"/>
  <c r="AA14" i="4" s="1"/>
  <c r="AW14" i="4" s="1"/>
  <c r="G14" i="4"/>
  <c r="DJ14" i="4" s="1"/>
  <c r="DG13" i="4"/>
  <c r="DF13" i="4"/>
  <c r="DD13" i="4"/>
  <c r="DC13" i="4"/>
  <c r="DA13" i="4"/>
  <c r="CZ13" i="4"/>
  <c r="CY13" i="4"/>
  <c r="CX13" i="4"/>
  <c r="CW13" i="4"/>
  <c r="CV13" i="4"/>
  <c r="CU13" i="4"/>
  <c r="CR13" i="4"/>
  <c r="CQ13" i="4"/>
  <c r="CP13" i="4"/>
  <c r="CM13" i="4"/>
  <c r="CG13" i="4"/>
  <c r="CG141" i="4" s="1"/>
  <c r="BY13" i="4"/>
  <c r="BP13" i="4"/>
  <c r="BM13" i="4"/>
  <c r="BL13" i="4"/>
  <c r="BJ13" i="4"/>
  <c r="BI13" i="4"/>
  <c r="BH13" i="4"/>
  <c r="BG13" i="4"/>
  <c r="BF13" i="4"/>
  <c r="BE13" i="4"/>
  <c r="BD13" i="4"/>
  <c r="BB13" i="4"/>
  <c r="BA13" i="4"/>
  <c r="AZ13" i="4"/>
  <c r="AY13" i="4"/>
  <c r="AV13" i="4"/>
  <c r="AP13" i="4"/>
  <c r="BK13" i="4" s="1"/>
  <c r="AH13" i="4"/>
  <c r="BC13" i="4" s="1"/>
  <c r="Z13" i="4"/>
  <c r="G13" i="4"/>
  <c r="DJ13" i="4" s="1"/>
  <c r="DJ12" i="4"/>
  <c r="DH12" i="4"/>
  <c r="DG12" i="4"/>
  <c r="DF12" i="4"/>
  <c r="CO12" i="4" s="1"/>
  <c r="DD12" i="4"/>
  <c r="DC12" i="4"/>
  <c r="DB12" i="4"/>
  <c r="DA12" i="4"/>
  <c r="CZ12" i="4"/>
  <c r="CY12" i="4"/>
  <c r="CX12" i="4"/>
  <c r="CW12" i="4"/>
  <c r="CV12" i="4"/>
  <c r="CU12" i="4"/>
  <c r="CT12" i="4"/>
  <c r="CR12" i="4"/>
  <c r="CQ12" i="4"/>
  <c r="CP12" i="4"/>
  <c r="BX12" i="4"/>
  <c r="CS12" i="4" s="1"/>
  <c r="BQ12" i="4"/>
  <c r="BP12" i="4"/>
  <c r="BM12" i="4"/>
  <c r="BL12" i="4"/>
  <c r="BK12" i="4"/>
  <c r="BJ12" i="4"/>
  <c r="BI12" i="4"/>
  <c r="BH12" i="4"/>
  <c r="BG12" i="4"/>
  <c r="BF12" i="4"/>
  <c r="BE12" i="4"/>
  <c r="BD12" i="4"/>
  <c r="BC12" i="4"/>
  <c r="BA12" i="4"/>
  <c r="AZ12" i="4"/>
  <c r="AY12" i="4"/>
  <c r="AG12" i="4"/>
  <c r="BB12" i="4" s="1"/>
  <c r="G12" i="4"/>
  <c r="DH11" i="4"/>
  <c r="DG11" i="4"/>
  <c r="DF11" i="4"/>
  <c r="DD11" i="4"/>
  <c r="DC11" i="4"/>
  <c r="DB11" i="4"/>
  <c r="DA11" i="4"/>
  <c r="CZ11" i="4"/>
  <c r="CY11" i="4"/>
  <c r="CX11" i="4"/>
  <c r="CW11" i="4"/>
  <c r="CV11" i="4"/>
  <c r="CU11" i="4"/>
  <c r="CT11" i="4"/>
  <c r="CS11" i="4"/>
  <c r="CR11" i="4"/>
  <c r="CP11" i="4"/>
  <c r="BV11" i="4"/>
  <c r="BQ11" i="4"/>
  <c r="BP11" i="4"/>
  <c r="BM11" i="4"/>
  <c r="BL11" i="4"/>
  <c r="BK11" i="4"/>
  <c r="BJ11" i="4"/>
  <c r="BI11" i="4"/>
  <c r="BH11" i="4"/>
  <c r="BG11" i="4"/>
  <c r="BF11" i="4"/>
  <c r="BE11" i="4"/>
  <c r="BD11" i="4"/>
  <c r="BC11" i="4"/>
  <c r="BB11" i="4"/>
  <c r="BA11" i="4"/>
  <c r="AY11" i="4"/>
  <c r="AE11" i="4"/>
  <c r="AB11" i="4" s="1"/>
  <c r="AA11" i="4" s="1"/>
  <c r="AW11" i="4" s="1"/>
  <c r="G11" i="4"/>
  <c r="DJ11" i="4" s="1"/>
  <c r="DJ10" i="4"/>
  <c r="DH10" i="4"/>
  <c r="DG10" i="4"/>
  <c r="DF10" i="4"/>
  <c r="DD10" i="4"/>
  <c r="DC10" i="4"/>
  <c r="DB10" i="4"/>
  <c r="DA10" i="4"/>
  <c r="CZ10" i="4"/>
  <c r="CY10" i="4"/>
  <c r="CX10" i="4"/>
  <c r="CW10" i="4"/>
  <c r="CV10" i="4"/>
  <c r="CU10" i="4"/>
  <c r="CT10" i="4"/>
  <c r="CR10" i="4"/>
  <c r="CQ10" i="4"/>
  <c r="CP10" i="4"/>
  <c r="BX10" i="4"/>
  <c r="BQ10" i="4"/>
  <c r="BP10" i="4"/>
  <c r="BM10" i="4"/>
  <c r="BL10" i="4"/>
  <c r="BK10" i="4"/>
  <c r="BJ10" i="4"/>
  <c r="BI10" i="4"/>
  <c r="BH10" i="4"/>
  <c r="BG10" i="4"/>
  <c r="BF10" i="4"/>
  <c r="BE10" i="4"/>
  <c r="BD10" i="4"/>
  <c r="BC10" i="4"/>
  <c r="BA10" i="4"/>
  <c r="AZ10" i="4"/>
  <c r="AY10" i="4"/>
  <c r="AG10" i="4"/>
  <c r="AB10" i="4" s="1"/>
  <c r="AA10" i="4" s="1"/>
  <c r="AW10" i="4" s="1"/>
  <c r="K10" i="4"/>
  <c r="G10" i="4"/>
  <c r="DG9" i="4"/>
  <c r="DG20" i="4" s="1"/>
  <c r="DF9" i="4"/>
  <c r="DD9" i="4"/>
  <c r="DC9" i="4"/>
  <c r="DB9" i="4"/>
  <c r="DA9" i="4"/>
  <c r="CZ9" i="4"/>
  <c r="CY9" i="4"/>
  <c r="CX9" i="4"/>
  <c r="CW9" i="4"/>
  <c r="CV9" i="4"/>
  <c r="CU9" i="4"/>
  <c r="CT9" i="4"/>
  <c r="CR9" i="4"/>
  <c r="CP9" i="4"/>
  <c r="CM9" i="4"/>
  <c r="CM139" i="4" s="1"/>
  <c r="BV9" i="4"/>
  <c r="BS9" i="4" s="1"/>
  <c r="BR9" i="4" s="1"/>
  <c r="CN9" i="4" s="1"/>
  <c r="BP9" i="4"/>
  <c r="BM9" i="4"/>
  <c r="BL9" i="4"/>
  <c r="BK9" i="4"/>
  <c r="BJ9" i="4"/>
  <c r="BI9" i="4"/>
  <c r="BH9" i="4"/>
  <c r="BG9" i="4"/>
  <c r="BF9" i="4"/>
  <c r="BE9" i="4"/>
  <c r="BD9" i="4"/>
  <c r="BC9" i="4"/>
  <c r="BA9" i="4"/>
  <c r="AY9" i="4"/>
  <c r="AV9" i="4"/>
  <c r="AV139" i="4" s="1"/>
  <c r="AG9" i="4"/>
  <c r="AE9" i="4"/>
  <c r="Z9" i="4"/>
  <c r="Z139" i="4" s="1"/>
  <c r="K9" i="4"/>
  <c r="I9" i="4"/>
  <c r="G9" i="4" s="1"/>
  <c r="DJ9" i="4" s="1"/>
  <c r="DH8" i="4"/>
  <c r="DG8" i="4"/>
  <c r="DF8" i="4"/>
  <c r="DF139" i="4" s="1"/>
  <c r="DD8" i="4"/>
  <c r="DD139" i="4" s="1"/>
  <c r="DC8" i="4"/>
  <c r="DB8" i="4"/>
  <c r="DA8" i="4"/>
  <c r="DA139" i="4" s="1"/>
  <c r="CZ8" i="4"/>
  <c r="CY8" i="4"/>
  <c r="CX8" i="4"/>
  <c r="CW8" i="4"/>
  <c r="CW139" i="4" s="1"/>
  <c r="CV8" i="4"/>
  <c r="CV139" i="4" s="1"/>
  <c r="CU8" i="4"/>
  <c r="CT8" i="4"/>
  <c r="CR8" i="4"/>
  <c r="CP8" i="4"/>
  <c r="BX8" i="4"/>
  <c r="BV8" i="4"/>
  <c r="BQ8" i="4"/>
  <c r="BP8" i="4"/>
  <c r="BP139" i="4" s="1"/>
  <c r="BM8" i="4"/>
  <c r="BL8" i="4"/>
  <c r="BL139" i="4" s="1"/>
  <c r="BK8" i="4"/>
  <c r="BJ8" i="4"/>
  <c r="BI8" i="4"/>
  <c r="BH8" i="4"/>
  <c r="BG8" i="4"/>
  <c r="BG139" i="4" s="1"/>
  <c r="BF8" i="4"/>
  <c r="BF139" i="4" s="1"/>
  <c r="BE8" i="4"/>
  <c r="BE139" i="4" s="1"/>
  <c r="BD8" i="4"/>
  <c r="BD139" i="4" s="1"/>
  <c r="BC8" i="4"/>
  <c r="BA8" i="4"/>
  <c r="AY8" i="4"/>
  <c r="AY139" i="4" s="1"/>
  <c r="AG8" i="4"/>
  <c r="AE8" i="4"/>
  <c r="K8" i="4"/>
  <c r="I8" i="4"/>
  <c r="DG7" i="4"/>
  <c r="DF7" i="4"/>
  <c r="DD7" i="4"/>
  <c r="DC7" i="4"/>
  <c r="DB7" i="4"/>
  <c r="DA7" i="4"/>
  <c r="CZ7" i="4"/>
  <c r="CY7" i="4"/>
  <c r="CX7" i="4"/>
  <c r="CW7" i="4"/>
  <c r="CV7" i="4"/>
  <c r="CU7" i="4"/>
  <c r="CT7" i="4"/>
  <c r="CR7" i="4"/>
  <c r="CQ7" i="4"/>
  <c r="CP7" i="4"/>
  <c r="CM7" i="4"/>
  <c r="BS7" i="4" s="1"/>
  <c r="BR7" i="4" s="1"/>
  <c r="CN7" i="4" s="1"/>
  <c r="BP7" i="4"/>
  <c r="BM7" i="4"/>
  <c r="BL7" i="4"/>
  <c r="BK7" i="4"/>
  <c r="BJ7" i="4"/>
  <c r="BI7" i="4"/>
  <c r="BH7" i="4"/>
  <c r="BG7" i="4"/>
  <c r="BF7" i="4"/>
  <c r="BE7" i="4"/>
  <c r="BD7" i="4"/>
  <c r="BC7" i="4"/>
  <c r="BA7" i="4"/>
  <c r="AZ7" i="4"/>
  <c r="AY7" i="4"/>
  <c r="AV7" i="4"/>
  <c r="AB7" i="4"/>
  <c r="Z7" i="4"/>
  <c r="K7" i="4"/>
  <c r="G7" i="4" s="1"/>
  <c r="DJ7" i="4" s="1"/>
  <c r="I7" i="4"/>
  <c r="DH6" i="4"/>
  <c r="DG6" i="4"/>
  <c r="DF6" i="4"/>
  <c r="DD6" i="4"/>
  <c r="DC6" i="4"/>
  <c r="DB6" i="4"/>
  <c r="DA6" i="4"/>
  <c r="CZ6" i="4"/>
  <c r="CY6" i="4"/>
  <c r="CY20" i="4" s="1"/>
  <c r="CX6" i="4"/>
  <c r="CW6" i="4"/>
  <c r="CV6" i="4"/>
  <c r="CU6" i="4"/>
  <c r="CT6" i="4"/>
  <c r="CR6" i="4"/>
  <c r="CQ6" i="4"/>
  <c r="CP6" i="4"/>
  <c r="BX6" i="4"/>
  <c r="BS6" i="4" s="1"/>
  <c r="BQ6" i="4"/>
  <c r="BP6" i="4"/>
  <c r="BM6" i="4"/>
  <c r="BL6" i="4"/>
  <c r="BK6" i="4"/>
  <c r="BJ6" i="4"/>
  <c r="BI6" i="4"/>
  <c r="BH6" i="4"/>
  <c r="BG6" i="4"/>
  <c r="BF6" i="4"/>
  <c r="BE6" i="4"/>
  <c r="BD6" i="4"/>
  <c r="BD20" i="4" s="1"/>
  <c r="BC6" i="4"/>
  <c r="BA6" i="4"/>
  <c r="AY6" i="4"/>
  <c r="AG6" i="4"/>
  <c r="AB6" i="4" s="1"/>
  <c r="K6" i="4"/>
  <c r="I6" i="4"/>
  <c r="AZ6" i="4" s="1"/>
  <c r="G6" i="4"/>
  <c r="DJ6" i="4" s="1"/>
  <c r="DG5" i="4"/>
  <c r="DF5" i="4"/>
  <c r="DD5" i="4"/>
  <c r="DC5" i="4"/>
  <c r="DB5" i="4"/>
  <c r="DA5" i="4"/>
  <c r="CZ5" i="4"/>
  <c r="CY5" i="4"/>
  <c r="CX5" i="4"/>
  <c r="CW5" i="4"/>
  <c r="CV5" i="4"/>
  <c r="CU5" i="4"/>
  <c r="CT5" i="4"/>
  <c r="CR5" i="4"/>
  <c r="CP5" i="4"/>
  <c r="BX5" i="4"/>
  <c r="CS5" i="4" s="1"/>
  <c r="BP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V5" i="4"/>
  <c r="AG5" i="4"/>
  <c r="AB5" i="4" s="1"/>
  <c r="Z5" i="4"/>
  <c r="K5" i="4"/>
  <c r="I5" i="4"/>
  <c r="I141" i="4" s="1"/>
  <c r="DJ4" i="4"/>
  <c r="DH4" i="4"/>
  <c r="DG4" i="4"/>
  <c r="DF4" i="4"/>
  <c r="DD4" i="4"/>
  <c r="DC4" i="4"/>
  <c r="DB4" i="4"/>
  <c r="DA4" i="4"/>
  <c r="CZ4" i="4"/>
  <c r="CZ141" i="4" s="1"/>
  <c r="CY4" i="4"/>
  <c r="CX4" i="4"/>
  <c r="CW4" i="4"/>
  <c r="CV4" i="4"/>
  <c r="CU4" i="4"/>
  <c r="CT4" i="4"/>
  <c r="CS4" i="4"/>
  <c r="CR4" i="4"/>
  <c r="CQ4" i="4"/>
  <c r="CP4" i="4"/>
  <c r="CP20" i="4" s="1"/>
  <c r="BX4" i="4"/>
  <c r="BS4" i="4" s="1"/>
  <c r="BR4" i="4" s="1"/>
  <c r="CN4" i="4" s="1"/>
  <c r="BQ4" i="4"/>
  <c r="BP4" i="4"/>
  <c r="BO4" i="4"/>
  <c r="BO141" i="4" s="1"/>
  <c r="BM4" i="4"/>
  <c r="BL4" i="4"/>
  <c r="BK4" i="4"/>
  <c r="BJ4" i="4"/>
  <c r="BI4" i="4"/>
  <c r="BH4" i="4"/>
  <c r="BG4" i="4"/>
  <c r="BF4" i="4"/>
  <c r="BF141" i="4" s="1"/>
  <c r="BE4" i="4"/>
  <c r="BD4" i="4"/>
  <c r="BC4" i="4"/>
  <c r="BB4" i="4"/>
  <c r="BA4" i="4"/>
  <c r="AZ4" i="4"/>
  <c r="AY4" i="4"/>
  <c r="AX4" i="4"/>
  <c r="DK4" i="4" s="1"/>
  <c r="AB4" i="4"/>
  <c r="AA4" i="4"/>
  <c r="AW4" i="4" s="1"/>
  <c r="G4" i="4"/>
  <c r="AQ3" i="4"/>
  <c r="BL3" i="4" s="1"/>
  <c r="CH3" i="4" s="1"/>
  <c r="DC3" i="4" s="1"/>
  <c r="AH135" i="5" l="1"/>
  <c r="BB80" i="4"/>
  <c r="DA82" i="4"/>
  <c r="BS15" i="4"/>
  <c r="BR15" i="4" s="1"/>
  <c r="CN15" i="4" s="1"/>
  <c r="BS38" i="4"/>
  <c r="BR38" i="4" s="1"/>
  <c r="CN38" i="4" s="1"/>
  <c r="AB117" i="4"/>
  <c r="AB139" i="5"/>
  <c r="DG140" i="5"/>
  <c r="DG144" i="5" s="1"/>
  <c r="DG146" i="5" s="1"/>
  <c r="CP113" i="5"/>
  <c r="AX19" i="5"/>
  <c r="CG144" i="5"/>
  <c r="CG146" i="5" s="1"/>
  <c r="AB19" i="4"/>
  <c r="AM147" i="5"/>
  <c r="CI146" i="5"/>
  <c r="AA40" i="5"/>
  <c r="AW40" i="5" s="1"/>
  <c r="AV141" i="4"/>
  <c r="DK88" i="4"/>
  <c r="BB89" i="4"/>
  <c r="AX89" i="4" s="1"/>
  <c r="DK89" i="4" s="1"/>
  <c r="BL29" i="4"/>
  <c r="AX29" i="4" s="1"/>
  <c r="DK29" i="4" s="1"/>
  <c r="BS63" i="4"/>
  <c r="BR63" i="4" s="1"/>
  <c r="CN63" i="4" s="1"/>
  <c r="AX80" i="4"/>
  <c r="DK80" i="4" s="1"/>
  <c r="AB100" i="4"/>
  <c r="AA100" i="4" s="1"/>
  <c r="AW100" i="4" s="1"/>
  <c r="AR144" i="4"/>
  <c r="CI144" i="4"/>
  <c r="AR147" i="5"/>
  <c r="BB133" i="5"/>
  <c r="BS40" i="5"/>
  <c r="BR40" i="5" s="1"/>
  <c r="CN40" i="5" s="1"/>
  <c r="AG135" i="5"/>
  <c r="AG147" i="5" s="1"/>
  <c r="CK147" i="5"/>
  <c r="CO125" i="5"/>
  <c r="BX135" i="5"/>
  <c r="CO121" i="5"/>
  <c r="DH137" i="5"/>
  <c r="CO74" i="4"/>
  <c r="DL74" i="4" s="1"/>
  <c r="BQ54" i="4"/>
  <c r="AX54" i="4" s="1"/>
  <c r="DK54" i="4" s="1"/>
  <c r="BS8" i="4"/>
  <c r="BQ68" i="4"/>
  <c r="DA138" i="5"/>
  <c r="CH40" i="4"/>
  <c r="BS40" i="4" s="1"/>
  <c r="BR40" i="4" s="1"/>
  <c r="CN40" i="4" s="1"/>
  <c r="AB34" i="4"/>
  <c r="AA34" i="4" s="1"/>
  <c r="AW34" i="4" s="1"/>
  <c r="BR45" i="4"/>
  <c r="CN45" i="4" s="1"/>
  <c r="AX46" i="4"/>
  <c r="AZ56" i="4"/>
  <c r="AX56" i="4" s="1"/>
  <c r="DK56" i="4" s="1"/>
  <c r="BR74" i="4"/>
  <c r="CN74" i="4" s="1"/>
  <c r="AA80" i="4"/>
  <c r="AW80" i="4" s="1"/>
  <c r="AB95" i="4"/>
  <c r="AA95" i="4" s="1"/>
  <c r="AW95" i="4" s="1"/>
  <c r="BB106" i="4"/>
  <c r="BB145" i="4" s="1"/>
  <c r="CO127" i="4"/>
  <c r="DL127" i="4" s="1"/>
  <c r="AX127" i="5"/>
  <c r="DC113" i="5"/>
  <c r="CO40" i="5"/>
  <c r="BS138" i="5"/>
  <c r="DH59" i="4"/>
  <c r="AX68" i="4"/>
  <c r="DK68" i="4" s="1"/>
  <c r="BB10" i="4"/>
  <c r="AX10" i="4" s="1"/>
  <c r="DK10" i="4" s="1"/>
  <c r="BH137" i="5"/>
  <c r="BH144" i="5" s="1"/>
  <c r="BH146" i="5" s="1"/>
  <c r="DD144" i="5"/>
  <c r="AV144" i="5"/>
  <c r="AV146" i="5" s="1"/>
  <c r="BX144" i="5"/>
  <c r="BX146" i="5" s="1"/>
  <c r="BP60" i="5"/>
  <c r="BP135" i="5" s="1"/>
  <c r="BR10" i="5"/>
  <c r="CN10" i="5" s="1"/>
  <c r="AQ135" i="5"/>
  <c r="BM113" i="5"/>
  <c r="BM135" i="5" s="1"/>
  <c r="G141" i="5"/>
  <c r="BQ60" i="5"/>
  <c r="BQ20" i="5"/>
  <c r="AQ146" i="5"/>
  <c r="AT144" i="5"/>
  <c r="AT146" i="5" s="1"/>
  <c r="AT147" i="5" s="1"/>
  <c r="AX109" i="5"/>
  <c r="AB138" i="5"/>
  <c r="CP145" i="5"/>
  <c r="T147" i="5"/>
  <c r="AL147" i="5"/>
  <c r="AN135" i="5"/>
  <c r="AN147" i="5" s="1"/>
  <c r="BD144" i="5"/>
  <c r="BD146" i="5" s="1"/>
  <c r="BS145" i="5"/>
  <c r="BL60" i="5"/>
  <c r="CO30" i="5"/>
  <c r="BQ139" i="5"/>
  <c r="AX139" i="5" s="1"/>
  <c r="BQ141" i="5"/>
  <c r="Z135" i="5"/>
  <c r="DC58" i="5"/>
  <c r="DC60" i="5" s="1"/>
  <c r="BS58" i="5"/>
  <c r="AA74" i="5"/>
  <c r="AW74" i="5" s="1"/>
  <c r="V147" i="5"/>
  <c r="AB142" i="5"/>
  <c r="AE144" i="5"/>
  <c r="AE146" i="5" s="1"/>
  <c r="AE147" i="5" s="1"/>
  <c r="DH113" i="5"/>
  <c r="CF144" i="5"/>
  <c r="CF146" i="5" s="1"/>
  <c r="BI144" i="5"/>
  <c r="BI146" i="5" s="1"/>
  <c r="AU147" i="5"/>
  <c r="AX13" i="5"/>
  <c r="CE147" i="5"/>
  <c r="CH140" i="5"/>
  <c r="CH144" i="5" s="1"/>
  <c r="CH146" i="5" s="1"/>
  <c r="BS140" i="5"/>
  <c r="CO104" i="5"/>
  <c r="AX118" i="5"/>
  <c r="U135" i="5"/>
  <c r="U147" i="5" s="1"/>
  <c r="CS139" i="5"/>
  <c r="AO135" i="5"/>
  <c r="AB140" i="5"/>
  <c r="AA140" i="5" s="1"/>
  <c r="AW140" i="5" s="1"/>
  <c r="AB141" i="5"/>
  <c r="AA141" i="5" s="1"/>
  <c r="AW141" i="5" s="1"/>
  <c r="CV144" i="5"/>
  <c r="CV146" i="5" s="1"/>
  <c r="AX105" i="5"/>
  <c r="AX115" i="5"/>
  <c r="CD147" i="5"/>
  <c r="K147" i="5"/>
  <c r="K144" i="5"/>
  <c r="K146" i="5" s="1"/>
  <c r="BV139" i="5"/>
  <c r="BS139" i="5" s="1"/>
  <c r="CO61" i="5"/>
  <c r="CO93" i="5" s="1"/>
  <c r="AX52" i="5"/>
  <c r="DH140" i="5"/>
  <c r="AX41" i="5"/>
  <c r="CO58" i="5"/>
  <c r="BB139" i="5"/>
  <c r="AH144" i="5"/>
  <c r="AH146" i="5" s="1"/>
  <c r="AH147" i="5" s="1"/>
  <c r="BR32" i="5"/>
  <c r="CN32" i="5" s="1"/>
  <c r="Z144" i="5"/>
  <c r="Z146" i="5" s="1"/>
  <c r="Z147" i="5" s="1"/>
  <c r="AD146" i="5"/>
  <c r="AD147" i="5" s="1"/>
  <c r="AO144" i="5"/>
  <c r="AO146" i="5" s="1"/>
  <c r="AP147" i="5"/>
  <c r="CV135" i="5"/>
  <c r="CV147" i="5" s="1"/>
  <c r="BS142" i="5"/>
  <c r="CY137" i="5"/>
  <c r="CY144" i="5" s="1"/>
  <c r="CY146" i="5" s="1"/>
  <c r="BS143" i="5"/>
  <c r="BR143" i="5" s="1"/>
  <c r="CN143" i="5" s="1"/>
  <c r="CZ93" i="5"/>
  <c r="CZ135" i="5" s="1"/>
  <c r="BS137" i="5"/>
  <c r="AV135" i="5"/>
  <c r="CO65" i="5"/>
  <c r="CQ133" i="5"/>
  <c r="AX106" i="5"/>
  <c r="BP140" i="5"/>
  <c r="BQ113" i="5"/>
  <c r="BV20" i="5"/>
  <c r="BV135" i="5" s="1"/>
  <c r="BD135" i="5"/>
  <c r="BD147" i="5" s="1"/>
  <c r="L147" i="5"/>
  <c r="AG144" i="5"/>
  <c r="AG146" i="5" s="1"/>
  <c r="BB20" i="5"/>
  <c r="BR5" i="5"/>
  <c r="CN5" i="5" s="1"/>
  <c r="CU137" i="5"/>
  <c r="CU144" i="5" s="1"/>
  <c r="CU146" i="5" s="1"/>
  <c r="CU133" i="5"/>
  <c r="CU135" i="5" s="1"/>
  <c r="CU147" i="5" s="1"/>
  <c r="BQ137" i="5"/>
  <c r="BQ133" i="5"/>
  <c r="BC60" i="5"/>
  <c r="BU146" i="5"/>
  <c r="BU147" i="5" s="1"/>
  <c r="AA124" i="5"/>
  <c r="AW124" i="5" s="1"/>
  <c r="BR115" i="5"/>
  <c r="CN115" i="5" s="1"/>
  <c r="AZ137" i="5"/>
  <c r="AZ133" i="5"/>
  <c r="BR79" i="5"/>
  <c r="CN79" i="5" s="1"/>
  <c r="AA116" i="5"/>
  <c r="AW116" i="5" s="1"/>
  <c r="AA106" i="5"/>
  <c r="AW106" i="5" s="1"/>
  <c r="AZ138" i="5"/>
  <c r="AX117" i="5"/>
  <c r="AY113" i="5"/>
  <c r="AY135" i="5" s="1"/>
  <c r="AA45" i="5"/>
  <c r="AW45" i="5" s="1"/>
  <c r="AX23" i="5"/>
  <c r="BM145" i="5"/>
  <c r="BL140" i="5"/>
  <c r="BL144" i="5" s="1"/>
  <c r="BB141" i="5"/>
  <c r="CO114" i="5"/>
  <c r="BR62" i="5"/>
  <c r="CN62" i="5" s="1"/>
  <c r="AA77" i="5"/>
  <c r="AW77" i="5" s="1"/>
  <c r="BR77" i="5"/>
  <c r="CN77" i="5" s="1"/>
  <c r="CI147" i="5"/>
  <c r="BC20" i="5"/>
  <c r="BR66" i="5"/>
  <c r="CN66" i="5" s="1"/>
  <c r="BC140" i="5"/>
  <c r="AA8" i="5"/>
  <c r="AW8" i="5" s="1"/>
  <c r="BE144" i="5"/>
  <c r="BE146" i="5" s="1"/>
  <c r="AA18" i="5"/>
  <c r="AW18" i="5" s="1"/>
  <c r="AA126" i="5"/>
  <c r="AW126" i="5" s="1"/>
  <c r="CO124" i="5"/>
  <c r="BR132" i="5"/>
  <c r="CN132" i="5" s="1"/>
  <c r="BS133" i="5"/>
  <c r="BR114" i="5"/>
  <c r="CN114" i="5" s="1"/>
  <c r="CS133" i="5"/>
  <c r="AA118" i="5"/>
  <c r="AW118" i="5" s="1"/>
  <c r="BL145" i="5"/>
  <c r="BQ138" i="5"/>
  <c r="AB145" i="5"/>
  <c r="CT142" i="5"/>
  <c r="CT93" i="5"/>
  <c r="CT135" i="5" s="1"/>
  <c r="AA143" i="5"/>
  <c r="AW143" i="5" s="1"/>
  <c r="AA97" i="5"/>
  <c r="AW97" i="5" s="1"/>
  <c r="CQ138" i="5"/>
  <c r="AA66" i="5"/>
  <c r="AW66" i="5" s="1"/>
  <c r="BR101" i="5"/>
  <c r="CN101" i="5" s="1"/>
  <c r="AY145" i="5"/>
  <c r="BR41" i="5"/>
  <c r="CN41" i="5" s="1"/>
  <c r="BY135" i="5"/>
  <c r="BY147" i="5" s="1"/>
  <c r="I135" i="5"/>
  <c r="BR64" i="5"/>
  <c r="CN64" i="5" s="1"/>
  <c r="CG147" i="5"/>
  <c r="BR28" i="5"/>
  <c r="CN28" i="5" s="1"/>
  <c r="CS13" i="5"/>
  <c r="CO13" i="5" s="1"/>
  <c r="BS13" i="5"/>
  <c r="BS20" i="5" s="1"/>
  <c r="DJ88" i="5"/>
  <c r="CS93" i="5"/>
  <c r="CO115" i="5"/>
  <c r="DE147" i="5"/>
  <c r="CX135" i="5"/>
  <c r="DH139" i="5"/>
  <c r="BR98" i="5"/>
  <c r="CN98" i="5" s="1"/>
  <c r="AA14" i="5"/>
  <c r="AW14" i="5" s="1"/>
  <c r="CF135" i="5"/>
  <c r="AX9" i="5"/>
  <c r="BO143" i="5"/>
  <c r="BO144" i="5" s="1"/>
  <c r="BO146" i="5" s="1"/>
  <c r="BO133" i="5"/>
  <c r="BO135" i="5" s="1"/>
  <c r="G60" i="5"/>
  <c r="AA19" i="5"/>
  <c r="AW19" i="5" s="1"/>
  <c r="AA125" i="5"/>
  <c r="AW125" i="5" s="1"/>
  <c r="DH138" i="5"/>
  <c r="DF133" i="5"/>
  <c r="DF135" i="5" s="1"/>
  <c r="AX98" i="5"/>
  <c r="DA60" i="5"/>
  <c r="DA135" i="5" s="1"/>
  <c r="AA13" i="5"/>
  <c r="AW13" i="5" s="1"/>
  <c r="CP144" i="5"/>
  <c r="CO137" i="5"/>
  <c r="BR26" i="5"/>
  <c r="CN26" i="5" s="1"/>
  <c r="DH60" i="5"/>
  <c r="AA62" i="5"/>
  <c r="AW62" i="5" s="1"/>
  <c r="DF144" i="5"/>
  <c r="DF146" i="5" s="1"/>
  <c r="DH133" i="5"/>
  <c r="CR133" i="5"/>
  <c r="CR135" i="5" s="1"/>
  <c r="CR137" i="5"/>
  <c r="CR144" i="5" s="1"/>
  <c r="CR146" i="5" s="1"/>
  <c r="BR100" i="5"/>
  <c r="CN100" i="5" s="1"/>
  <c r="BV144" i="5"/>
  <c r="BV146" i="5" s="1"/>
  <c r="BR70" i="5"/>
  <c r="CN70" i="5" s="1"/>
  <c r="BN140" i="5"/>
  <c r="BN60" i="5"/>
  <c r="BN135" i="5" s="1"/>
  <c r="AX34" i="5"/>
  <c r="BR85" i="5"/>
  <c r="CN85" i="5" s="1"/>
  <c r="AA67" i="5"/>
  <c r="AW67" i="5" s="1"/>
  <c r="AX93" i="5"/>
  <c r="BR17" i="5"/>
  <c r="CN17" i="5" s="1"/>
  <c r="BK135" i="5"/>
  <c r="DG135" i="5"/>
  <c r="BR18" i="5"/>
  <c r="CN18" i="5" s="1"/>
  <c r="BR16" i="5"/>
  <c r="CN16" i="5" s="1"/>
  <c r="AA121" i="5"/>
  <c r="AW121" i="5" s="1"/>
  <c r="BG137" i="5"/>
  <c r="BG144" i="5" s="1"/>
  <c r="BG146" i="5" s="1"/>
  <c r="DB143" i="5"/>
  <c r="CO143" i="5" s="1"/>
  <c r="CO126" i="5"/>
  <c r="BR116" i="5"/>
  <c r="CN116" i="5" s="1"/>
  <c r="AX114" i="5"/>
  <c r="BH133" i="5"/>
  <c r="BH135" i="5" s="1"/>
  <c r="BH147" i="5" s="1"/>
  <c r="BP144" i="5"/>
  <c r="BP146" i="5" s="1"/>
  <c r="BA133" i="5"/>
  <c r="BA135" i="5" s="1"/>
  <c r="BA137" i="5"/>
  <c r="BA144" i="5" s="1"/>
  <c r="BA146" i="5" s="1"/>
  <c r="BR124" i="5"/>
  <c r="CN124" i="5" s="1"/>
  <c r="BR121" i="5"/>
  <c r="CN121" i="5" s="1"/>
  <c r="BS113" i="5"/>
  <c r="BR95" i="5"/>
  <c r="CN95" i="5" s="1"/>
  <c r="BR63" i="5"/>
  <c r="CN63" i="5" s="1"/>
  <c r="BM144" i="5"/>
  <c r="BC141" i="5"/>
  <c r="CW144" i="5"/>
  <c r="CW146" i="5" s="1"/>
  <c r="CW147" i="5" s="1"/>
  <c r="BJ93" i="5"/>
  <c r="BJ135" i="5" s="1"/>
  <c r="BL113" i="5"/>
  <c r="BL135" i="5" s="1"/>
  <c r="BR9" i="5"/>
  <c r="CN9" i="5" s="1"/>
  <c r="AA52" i="5"/>
  <c r="AW52" i="5" s="1"/>
  <c r="BR130" i="5"/>
  <c r="CN130" i="5" s="1"/>
  <c r="AX43" i="5"/>
  <c r="AA15" i="5"/>
  <c r="AW15" i="5" s="1"/>
  <c r="AA29" i="5"/>
  <c r="AW29" i="5" s="1"/>
  <c r="BR58" i="5"/>
  <c r="CN58" i="5" s="1"/>
  <c r="AA9" i="5"/>
  <c r="AW9" i="5" s="1"/>
  <c r="G20" i="5"/>
  <c r="AZ140" i="5"/>
  <c r="AA119" i="5"/>
  <c r="AW119" i="5" s="1"/>
  <c r="AA117" i="5"/>
  <c r="AW117" i="5" s="1"/>
  <c r="DH142" i="5"/>
  <c r="DH93" i="5"/>
  <c r="AA76" i="5"/>
  <c r="AW76" i="5" s="1"/>
  <c r="BR76" i="5"/>
  <c r="CN76" i="5" s="1"/>
  <c r="R147" i="5"/>
  <c r="BR80" i="5"/>
  <c r="CN80" i="5" s="1"/>
  <c r="AA132" i="5"/>
  <c r="AW132" i="5" s="1"/>
  <c r="BJ142" i="5"/>
  <c r="BJ144" i="5" s="1"/>
  <c r="BJ146" i="5" s="1"/>
  <c r="G113" i="5"/>
  <c r="BE147" i="5"/>
  <c r="CS142" i="5"/>
  <c r="BB93" i="5"/>
  <c r="AA127" i="5"/>
  <c r="AW127" i="5" s="1"/>
  <c r="BK143" i="5"/>
  <c r="BK144" i="5" s="1"/>
  <c r="BK146" i="5" s="1"/>
  <c r="AX126" i="5"/>
  <c r="CO116" i="5"/>
  <c r="AV147" i="5"/>
  <c r="DA140" i="5"/>
  <c r="AA12" i="5"/>
  <c r="AW12" i="5" s="1"/>
  <c r="AB93" i="5"/>
  <c r="AA61" i="5"/>
  <c r="AW61" i="5" s="1"/>
  <c r="AZ60" i="5"/>
  <c r="BR45" i="5"/>
  <c r="CN45" i="5" s="1"/>
  <c r="BR120" i="5"/>
  <c r="CN120" i="5" s="1"/>
  <c r="BG133" i="5"/>
  <c r="BG135" i="5" s="1"/>
  <c r="BG147" i="5" s="1"/>
  <c r="BR105" i="5"/>
  <c r="CN105" i="5" s="1"/>
  <c r="BF137" i="5"/>
  <c r="BF144" i="5" s="1"/>
  <c r="BF146" i="5" s="1"/>
  <c r="BF133" i="5"/>
  <c r="BF135" i="5" s="1"/>
  <c r="BF147" i="5" s="1"/>
  <c r="G145" i="5"/>
  <c r="Q147" i="5"/>
  <c r="CY133" i="5"/>
  <c r="CY135" i="5" s="1"/>
  <c r="CY147" i="5" s="1"/>
  <c r="BQ145" i="5"/>
  <c r="AA83" i="5"/>
  <c r="AW83" i="5" s="1"/>
  <c r="G142" i="5"/>
  <c r="G93" i="5"/>
  <c r="BR106" i="5"/>
  <c r="CN106" i="5" s="1"/>
  <c r="CX144" i="5"/>
  <c r="CX146" i="5" s="1"/>
  <c r="BS93" i="5"/>
  <c r="CH60" i="5"/>
  <c r="CH135" i="5" s="1"/>
  <c r="BN144" i="5"/>
  <c r="BN146" i="5" s="1"/>
  <c r="G139" i="5"/>
  <c r="AA139" i="5" s="1"/>
  <c r="AW139" i="5" s="1"/>
  <c r="DC140" i="5"/>
  <c r="DC144" i="5" s="1"/>
  <c r="DC146" i="5" s="1"/>
  <c r="CQ141" i="5"/>
  <c r="CP135" i="5"/>
  <c r="AB60" i="5"/>
  <c r="CO52" i="5"/>
  <c r="BR34" i="5"/>
  <c r="CN34" i="5" s="1"/>
  <c r="BI60" i="5"/>
  <c r="BI135" i="5" s="1"/>
  <c r="CQ9" i="5"/>
  <c r="CQ20" i="5" s="1"/>
  <c r="BC93" i="5"/>
  <c r="BC142" i="5"/>
  <c r="AA58" i="5"/>
  <c r="AW58" i="5" s="1"/>
  <c r="AA28" i="5"/>
  <c r="AW28" i="5" s="1"/>
  <c r="BR19" i="5"/>
  <c r="CN19" i="5" s="1"/>
  <c r="CZ144" i="5"/>
  <c r="CZ146" i="5" s="1"/>
  <c r="BQ140" i="5"/>
  <c r="BR15" i="5"/>
  <c r="CN15" i="5" s="1"/>
  <c r="G143" i="5"/>
  <c r="I144" i="5"/>
  <c r="I146" i="5" s="1"/>
  <c r="BR21" i="5"/>
  <c r="CN21" i="5" s="1"/>
  <c r="AA98" i="5"/>
  <c r="AW98" i="5" s="1"/>
  <c r="AB113" i="5"/>
  <c r="CM141" i="5"/>
  <c r="CM144" i="5" s="1"/>
  <c r="CM146" i="5" s="1"/>
  <c r="CM20" i="5"/>
  <c r="CM135" i="5" s="1"/>
  <c r="BB142" i="5"/>
  <c r="BB144" i="5" s="1"/>
  <c r="BB146" i="5" s="1"/>
  <c r="CO117" i="5"/>
  <c r="G133" i="5"/>
  <c r="G137" i="5"/>
  <c r="DD145" i="5"/>
  <c r="DD146" i="5" s="1"/>
  <c r="DD113" i="5"/>
  <c r="DD135" i="5" s="1"/>
  <c r="S147" i="5"/>
  <c r="AB137" i="5"/>
  <c r="AY144" i="5"/>
  <c r="AY146" i="5" s="1"/>
  <c r="CO95" i="5"/>
  <c r="BR84" i="5"/>
  <c r="CN84" i="5" s="1"/>
  <c r="AA84" i="5"/>
  <c r="AW84" i="5" s="1"/>
  <c r="AA82" i="5"/>
  <c r="AW82" i="5" s="1"/>
  <c r="DA142" i="5"/>
  <c r="AA70" i="5"/>
  <c r="AW70" i="5" s="1"/>
  <c r="G138" i="5"/>
  <c r="AB133" i="5"/>
  <c r="BQ142" i="5"/>
  <c r="BQ93" i="5"/>
  <c r="CO98" i="5"/>
  <c r="AA78" i="5"/>
  <c r="AW78" i="5" s="1"/>
  <c r="CT141" i="5"/>
  <c r="CT144" i="5" s="1"/>
  <c r="CT146" i="5" s="1"/>
  <c r="AA86" i="5"/>
  <c r="AW86" i="5" s="1"/>
  <c r="AZ20" i="5"/>
  <c r="AA103" i="5"/>
  <c r="AW103" i="5" s="1"/>
  <c r="BR65" i="5"/>
  <c r="CN65" i="5" s="1"/>
  <c r="G140" i="5"/>
  <c r="AB20" i="5"/>
  <c r="BS52" i="5"/>
  <c r="AX8" i="5"/>
  <c r="DH5" i="5"/>
  <c r="AA100" i="5"/>
  <c r="AW100" i="5" s="1"/>
  <c r="CQ140" i="5"/>
  <c r="CQ60" i="5"/>
  <c r="CO21" i="5"/>
  <c r="AA16" i="5"/>
  <c r="AW16" i="5" s="1"/>
  <c r="AX132" i="4"/>
  <c r="DK132" i="4" s="1"/>
  <c r="CF60" i="4"/>
  <c r="AB12" i="4"/>
  <c r="AA12" i="4" s="1"/>
  <c r="AW12" i="4" s="1"/>
  <c r="CQ22" i="4"/>
  <c r="BS34" i="4"/>
  <c r="BR34" i="4" s="1"/>
  <c r="CN34" i="4" s="1"/>
  <c r="BL45" i="4"/>
  <c r="AX45" i="4" s="1"/>
  <c r="DK45" i="4" s="1"/>
  <c r="AB51" i="4"/>
  <c r="AA51" i="4" s="1"/>
  <c r="AW51" i="4" s="1"/>
  <c r="BS54" i="4"/>
  <c r="BR54" i="4" s="1"/>
  <c r="CN54" i="4" s="1"/>
  <c r="BS58" i="4"/>
  <c r="DH62" i="4"/>
  <c r="CO62" i="4" s="1"/>
  <c r="DL62" i="4" s="1"/>
  <c r="BS71" i="4"/>
  <c r="BR71" i="4" s="1"/>
  <c r="CN71" i="4" s="1"/>
  <c r="CO83" i="4"/>
  <c r="BM96" i="4"/>
  <c r="AX96" i="4" s="1"/>
  <c r="DK96" i="4" s="1"/>
  <c r="BS102" i="4"/>
  <c r="DD103" i="4"/>
  <c r="DL118" i="4"/>
  <c r="CS128" i="4"/>
  <c r="CO128" i="4" s="1"/>
  <c r="DL128" i="4" s="1"/>
  <c r="AS144" i="4"/>
  <c r="AS146" i="4" s="1"/>
  <c r="BM104" i="4"/>
  <c r="AX105" i="4"/>
  <c r="DH9" i="4"/>
  <c r="DH139" i="4" s="1"/>
  <c r="AX39" i="4"/>
  <c r="DK39" i="4" s="1"/>
  <c r="CO99" i="4"/>
  <c r="BQ13" i="4"/>
  <c r="CF140" i="4"/>
  <c r="BL48" i="4"/>
  <c r="AX48" i="4" s="1"/>
  <c r="DK48" i="4" s="1"/>
  <c r="AH60" i="4"/>
  <c r="CO82" i="4"/>
  <c r="DL82" i="4" s="1"/>
  <c r="CD138" i="4"/>
  <c r="CS8" i="4"/>
  <c r="BS12" i="4"/>
  <c r="BR12" i="4" s="1"/>
  <c r="CN12" i="4" s="1"/>
  <c r="BB14" i="4"/>
  <c r="AX14" i="4" s="1"/>
  <c r="DK14" i="4" s="1"/>
  <c r="CG20" i="4"/>
  <c r="BJ39" i="4"/>
  <c r="DC44" i="4"/>
  <c r="CO46" i="4"/>
  <c r="DL46" i="4" s="1"/>
  <c r="BS51" i="4"/>
  <c r="DL51" i="4" s="1"/>
  <c r="BS52" i="4"/>
  <c r="BS55" i="4"/>
  <c r="BR55" i="4" s="1"/>
  <c r="CN55" i="4" s="1"/>
  <c r="CO56" i="4"/>
  <c r="AZ58" i="4"/>
  <c r="BQ62" i="4"/>
  <c r="CO71" i="4"/>
  <c r="DL71" i="4" s="1"/>
  <c r="BB72" i="4"/>
  <c r="AX72" i="4" s="1"/>
  <c r="DK72" i="4" s="1"/>
  <c r="BM99" i="4"/>
  <c r="AX99" i="4" s="1"/>
  <c r="CO108" i="4"/>
  <c r="DL108" i="4" s="1"/>
  <c r="DK112" i="4"/>
  <c r="AE137" i="4"/>
  <c r="CM138" i="4"/>
  <c r="CY120" i="4"/>
  <c r="CO120" i="4" s="1"/>
  <c r="DL120" i="4" s="1"/>
  <c r="DB126" i="4"/>
  <c r="DB133" i="4" s="1"/>
  <c r="AG133" i="4"/>
  <c r="AV20" i="4"/>
  <c r="CO22" i="4"/>
  <c r="AO60" i="4"/>
  <c r="AX81" i="4"/>
  <c r="CO47" i="4"/>
  <c r="AX62" i="4"/>
  <c r="DK62" i="4" s="1"/>
  <c r="BR123" i="4"/>
  <c r="CN123" i="4" s="1"/>
  <c r="BX13" i="4"/>
  <c r="CS13" i="4" s="1"/>
  <c r="AX34" i="4"/>
  <c r="DK34" i="4" s="1"/>
  <c r="DA41" i="4"/>
  <c r="DA60" i="4" s="1"/>
  <c r="AB50" i="4"/>
  <c r="AA50" i="4" s="1"/>
  <c r="AW50" i="4" s="1"/>
  <c r="BQ59" i="4"/>
  <c r="AX59" i="4" s="1"/>
  <c r="DK59" i="4" s="1"/>
  <c r="AB85" i="4"/>
  <c r="AA85" i="4" s="1"/>
  <c r="AW85" i="4" s="1"/>
  <c r="CO90" i="4"/>
  <c r="DL90" i="4" s="1"/>
  <c r="BS96" i="4"/>
  <c r="DL96" i="4" s="1"/>
  <c r="CO103" i="4"/>
  <c r="DL131" i="4"/>
  <c r="BQ139" i="4"/>
  <c r="AB9" i="4"/>
  <c r="AA9" i="4" s="1"/>
  <c r="AW9" i="4" s="1"/>
  <c r="AB30" i="4"/>
  <c r="AA30" i="4" s="1"/>
  <c r="AW30" i="4" s="1"/>
  <c r="AX35" i="4"/>
  <c r="AB36" i="4"/>
  <c r="AA36" i="4" s="1"/>
  <c r="AW36" i="4" s="1"/>
  <c r="BL38" i="4"/>
  <c r="AX38" i="4" s="1"/>
  <c r="DK38" i="4" s="1"/>
  <c r="BN60" i="4"/>
  <c r="BN135" i="4" s="1"/>
  <c r="AH93" i="4"/>
  <c r="BQ9" i="4"/>
  <c r="CS14" i="4"/>
  <c r="AB15" i="4"/>
  <c r="AA15" i="4" s="1"/>
  <c r="AW15" i="4" s="1"/>
  <c r="CK135" i="4"/>
  <c r="DA39" i="4"/>
  <c r="AB61" i="4"/>
  <c r="AX65" i="4"/>
  <c r="BB74" i="4"/>
  <c r="AX74" i="4" s="1"/>
  <c r="DK74" i="4" s="1"/>
  <c r="AB81" i="4"/>
  <c r="AA81" i="4" s="1"/>
  <c r="AW81" i="4" s="1"/>
  <c r="BB86" i="4"/>
  <c r="AX86" i="4" s="1"/>
  <c r="DK86" i="4" s="1"/>
  <c r="BY93" i="4"/>
  <c r="CO96" i="4"/>
  <c r="BS99" i="4"/>
  <c r="BR99" i="4" s="1"/>
  <c r="CN99" i="4" s="1"/>
  <c r="AB105" i="4"/>
  <c r="AA105" i="4" s="1"/>
  <c r="AW105" i="4" s="1"/>
  <c r="BS122" i="4"/>
  <c r="BR122" i="4" s="1"/>
  <c r="CN122" i="4" s="1"/>
  <c r="AA27" i="4"/>
  <c r="AW27" i="4" s="1"/>
  <c r="BC20" i="4"/>
  <c r="BR14" i="4"/>
  <c r="CN14" i="4" s="1"/>
  <c r="AX47" i="4"/>
  <c r="DK47" i="4" s="1"/>
  <c r="AA59" i="4"/>
  <c r="AW59" i="4" s="1"/>
  <c r="I139" i="4"/>
  <c r="AZ8" i="4"/>
  <c r="AZ20" i="4" s="1"/>
  <c r="G37" i="4"/>
  <c r="DC37" i="4"/>
  <c r="BR41" i="4"/>
  <c r="CN41" i="4" s="1"/>
  <c r="DJ41" i="4"/>
  <c r="G49" i="4"/>
  <c r="BQ49" i="4"/>
  <c r="AX49" i="4" s="1"/>
  <c r="DK49" i="4" s="1"/>
  <c r="DH49" i="4"/>
  <c r="AE145" i="4"/>
  <c r="AZ106" i="4"/>
  <c r="CP138" i="4"/>
  <c r="BR124" i="4"/>
  <c r="CN124" i="4" s="1"/>
  <c r="DL124" i="4"/>
  <c r="BO20" i="4"/>
  <c r="BF140" i="4"/>
  <c r="BF60" i="4"/>
  <c r="CO23" i="4"/>
  <c r="DL23" i="4" s="1"/>
  <c r="AX43" i="4"/>
  <c r="DK43" i="4" s="1"/>
  <c r="DG50" i="4"/>
  <c r="BS50" i="4"/>
  <c r="CL60" i="4"/>
  <c r="CL135" i="4" s="1"/>
  <c r="AX63" i="4"/>
  <c r="DK63" i="4" s="1"/>
  <c r="AY93" i="4"/>
  <c r="DB93" i="4"/>
  <c r="BB76" i="4"/>
  <c r="CS76" i="4"/>
  <c r="CO76" i="4" s="1"/>
  <c r="DL76" i="4" s="1"/>
  <c r="AA92" i="4"/>
  <c r="AW92" i="4" s="1"/>
  <c r="K93" i="4"/>
  <c r="BL103" i="4"/>
  <c r="AB103" i="4"/>
  <c r="Q138" i="4"/>
  <c r="CY117" i="4"/>
  <c r="BH117" i="4"/>
  <c r="BH138" i="4" s="1"/>
  <c r="G117" i="4"/>
  <c r="AY141" i="4"/>
  <c r="AY20" i="4"/>
  <c r="BG141" i="4"/>
  <c r="BG20" i="4"/>
  <c r="BP141" i="4"/>
  <c r="BS5" i="4"/>
  <c r="BB6" i="4"/>
  <c r="BN139" i="4"/>
  <c r="BN144" i="4" s="1"/>
  <c r="BN146" i="4" s="1"/>
  <c r="BM139" i="4"/>
  <c r="CP139" i="4"/>
  <c r="CX139" i="4"/>
  <c r="DG139" i="4"/>
  <c r="CQ9" i="4"/>
  <c r="BS10" i="4"/>
  <c r="CS10" i="4"/>
  <c r="CO10" i="4" s="1"/>
  <c r="AZ11" i="4"/>
  <c r="AX11" i="4" s="1"/>
  <c r="DK11" i="4" s="1"/>
  <c r="AE20" i="4"/>
  <c r="CO14" i="4"/>
  <c r="DL14" i="4" s="1"/>
  <c r="AX18" i="4"/>
  <c r="DK18" i="4" s="1"/>
  <c r="BB19" i="4"/>
  <c r="AX19" i="4" s="1"/>
  <c r="CS19" i="4"/>
  <c r="CO19" i="4" s="1"/>
  <c r="BP20" i="4"/>
  <c r="BG140" i="4"/>
  <c r="BG60" i="4"/>
  <c r="CY60" i="4"/>
  <c r="AQ140" i="4"/>
  <c r="AQ144" i="4" s="1"/>
  <c r="BL26" i="4"/>
  <c r="AQ60" i="4"/>
  <c r="BS26" i="4"/>
  <c r="CH60" i="4"/>
  <c r="AO93" i="4"/>
  <c r="AA69" i="4"/>
  <c r="AW69" i="4" s="1"/>
  <c r="BR69" i="4"/>
  <c r="CN69" i="4" s="1"/>
  <c r="DJ69" i="4"/>
  <c r="AA76" i="4"/>
  <c r="AW76" i="4" s="1"/>
  <c r="AA83" i="4"/>
  <c r="AW83" i="4" s="1"/>
  <c r="DK83" i="4"/>
  <c r="AB91" i="4"/>
  <c r="BB91" i="4"/>
  <c r="Z138" i="4"/>
  <c r="DH117" i="4"/>
  <c r="BQ117" i="4"/>
  <c r="CR141" i="4"/>
  <c r="CR20" i="4"/>
  <c r="BR53" i="4"/>
  <c r="CN53" i="4" s="1"/>
  <c r="CU60" i="4"/>
  <c r="G78" i="4"/>
  <c r="CS78" i="4"/>
  <c r="DA141" i="4"/>
  <c r="DA20" i="4"/>
  <c r="BR19" i="4"/>
  <c r="CN19" i="4" s="1"/>
  <c r="DL19" i="4"/>
  <c r="AA26" i="4"/>
  <c r="AW26" i="4" s="1"/>
  <c r="DC31" i="4"/>
  <c r="CO31" i="4" s="1"/>
  <c r="BS31" i="4"/>
  <c r="CM60" i="4"/>
  <c r="BL37" i="4"/>
  <c r="AX37" i="4" s="1"/>
  <c r="DK37" i="4" s="1"/>
  <c r="Y140" i="4"/>
  <c r="BP41" i="4"/>
  <c r="BP60" i="4" s="1"/>
  <c r="AZ141" i="4"/>
  <c r="BH141" i="4"/>
  <c r="BH20" i="4"/>
  <c r="AA6" i="4"/>
  <c r="AW6" i="4" s="1"/>
  <c r="BB7" i="4"/>
  <c r="AX7" i="4" s="1"/>
  <c r="DK7" i="4" s="1"/>
  <c r="AG139" i="4"/>
  <c r="BB8" i="4"/>
  <c r="AB8" i="4"/>
  <c r="CY139" i="4"/>
  <c r="BS11" i="4"/>
  <c r="CQ11" i="4"/>
  <c r="CO11" i="4" s="1"/>
  <c r="BY141" i="4"/>
  <c r="CT13" i="4"/>
  <c r="CT20" i="4" s="1"/>
  <c r="BV140" i="4"/>
  <c r="BS21" i="4"/>
  <c r="BV60" i="4"/>
  <c r="CQ21" i="4"/>
  <c r="CO26" i="4"/>
  <c r="AA43" i="4"/>
  <c r="AW43" i="4" s="1"/>
  <c r="CQ93" i="4"/>
  <c r="AX77" i="4"/>
  <c r="DK77" i="4" s="1"/>
  <c r="DK84" i="4"/>
  <c r="AX12" i="4"/>
  <c r="BR16" i="4"/>
  <c r="CN16" i="4" s="1"/>
  <c r="AA17" i="4"/>
  <c r="AW17" i="4" s="1"/>
  <c r="DK19" i="4"/>
  <c r="U140" i="4"/>
  <c r="DC28" i="4"/>
  <c r="U60" i="4"/>
  <c r="BL28" i="4"/>
  <c r="BQ33" i="4"/>
  <c r="DH33" i="4"/>
  <c r="AA35" i="4"/>
  <c r="AW35" i="4" s="1"/>
  <c r="DK35" i="4"/>
  <c r="AA47" i="4"/>
  <c r="AW47" i="4" s="1"/>
  <c r="BL47" i="4"/>
  <c r="Z142" i="4"/>
  <c r="DH61" i="4"/>
  <c r="BQ61" i="4"/>
  <c r="G61" i="4"/>
  <c r="Z93" i="4"/>
  <c r="Y144" i="4"/>
  <c r="Y146" i="4" s="1"/>
  <c r="AA7" i="4"/>
  <c r="AW7" i="4" s="1"/>
  <c r="BB9" i="4"/>
  <c r="CS9" i="4"/>
  <c r="AB13" i="4"/>
  <c r="CE135" i="4"/>
  <c r="AZ24" i="4"/>
  <c r="AX24" i="4" s="1"/>
  <c r="AB24" i="4"/>
  <c r="AA24" i="4" s="1"/>
  <c r="AW24" i="4" s="1"/>
  <c r="AA28" i="4"/>
  <c r="AW28" i="4" s="1"/>
  <c r="AA33" i="4"/>
  <c r="AW33" i="4" s="1"/>
  <c r="BR33" i="4"/>
  <c r="CN33" i="4" s="1"/>
  <c r="CO37" i="4"/>
  <c r="CO59" i="4"/>
  <c r="Y60" i="4"/>
  <c r="BB73" i="4"/>
  <c r="AB79" i="4"/>
  <c r="BB79" i="4"/>
  <c r="AX79" i="4" s="1"/>
  <c r="BR88" i="4"/>
  <c r="CN88" i="4" s="1"/>
  <c r="CH145" i="4"/>
  <c r="CH113" i="4"/>
  <c r="BS100" i="4"/>
  <c r="DL17" i="4"/>
  <c r="CZ20" i="4"/>
  <c r="CO28" i="4"/>
  <c r="DL28" i="4" s="1"/>
  <c r="CQ8" i="4"/>
  <c r="CY93" i="4"/>
  <c r="BJ82" i="4"/>
  <c r="AX82" i="4" s="1"/>
  <c r="AB82" i="4"/>
  <c r="CP141" i="4"/>
  <c r="CO4" i="4"/>
  <c r="DG141" i="4"/>
  <c r="AZ9" i="4"/>
  <c r="AA18" i="4"/>
  <c r="AW18" i="4" s="1"/>
  <c r="CO18" i="4"/>
  <c r="DL18" i="4" s="1"/>
  <c r="CF20" i="4"/>
  <c r="CS140" i="4"/>
  <c r="CS60" i="4"/>
  <c r="DA140" i="4"/>
  <c r="BE60" i="4"/>
  <c r="BL27" i="4"/>
  <c r="AX27" i="4" s="1"/>
  <c r="DK27" i="4" s="1"/>
  <c r="CO30" i="4"/>
  <c r="DL30" i="4" s="1"/>
  <c r="AX44" i="4"/>
  <c r="DK44" i="4" s="1"/>
  <c r="AB52" i="4"/>
  <c r="AZ52" i="4"/>
  <c r="AX52" i="4" s="1"/>
  <c r="Z60" i="4"/>
  <c r="G67" i="4"/>
  <c r="BQ67" i="4"/>
  <c r="AX67" i="4" s="1"/>
  <c r="DK67" i="4" s="1"/>
  <c r="DH67" i="4"/>
  <c r="CO67" i="4" s="1"/>
  <c r="DL67" i="4" s="1"/>
  <c r="BB78" i="4"/>
  <c r="Z113" i="4"/>
  <c r="Z145" i="4"/>
  <c r="BQ98" i="4"/>
  <c r="G98" i="4"/>
  <c r="DJ98" i="4" s="1"/>
  <c r="DH98" i="4"/>
  <c r="DD60" i="4"/>
  <c r="G29" i="4"/>
  <c r="DJ29" i="4" s="1"/>
  <c r="DC29" i="4"/>
  <c r="CO29" i="4" s="1"/>
  <c r="AX13" i="4"/>
  <c r="BB17" i="4"/>
  <c r="CS17" i="4"/>
  <c r="CO17" i="4" s="1"/>
  <c r="AY140" i="4"/>
  <c r="AY60" i="4"/>
  <c r="BR30" i="4"/>
  <c r="CN30" i="4" s="1"/>
  <c r="BA142" i="4"/>
  <c r="BA93" i="4"/>
  <c r="CI145" i="4"/>
  <c r="DD95" i="4"/>
  <c r="CI113" i="4"/>
  <c r="CI135" i="4" s="1"/>
  <c r="BS95" i="4"/>
  <c r="AE113" i="4"/>
  <c r="BA141" i="4"/>
  <c r="BA20" i="4"/>
  <c r="BI141" i="4"/>
  <c r="BI20" i="4"/>
  <c r="DD20" i="4"/>
  <c r="Z141" i="4"/>
  <c r="Z20" i="4"/>
  <c r="BQ5" i="4"/>
  <c r="AX5" i="4" s="1"/>
  <c r="DK5" i="4" s="1"/>
  <c r="G5" i="4"/>
  <c r="DJ5" i="4" s="1"/>
  <c r="CM5" i="4"/>
  <c r="DH5" i="4" s="1"/>
  <c r="BQ7" i="4"/>
  <c r="DH7" i="4"/>
  <c r="CX141" i="4"/>
  <c r="AH141" i="4"/>
  <c r="AH20" i="4"/>
  <c r="J135" i="4"/>
  <c r="J147" i="4" s="1"/>
  <c r="CY141" i="4"/>
  <c r="AG141" i="4"/>
  <c r="AG20" i="4"/>
  <c r="CS7" i="4"/>
  <c r="CO7" i="4" s="1"/>
  <c r="DL7" i="4" s="1"/>
  <c r="G8" i="4"/>
  <c r="AP141" i="4"/>
  <c r="AP144" i="4" s="1"/>
  <c r="AP146" i="4" s="1"/>
  <c r="AP20" i="4"/>
  <c r="AP135" i="4" s="1"/>
  <c r="AX15" i="4"/>
  <c r="BR17" i="4"/>
  <c r="CN17" i="4" s="1"/>
  <c r="K20" i="4"/>
  <c r="K135" i="4" s="1"/>
  <c r="BF20" i="4"/>
  <c r="BY20" i="4"/>
  <c r="CX20" i="4"/>
  <c r="AV140" i="4"/>
  <c r="AV60" i="4"/>
  <c r="BQ23" i="4"/>
  <c r="AB23" i="4"/>
  <c r="BR23" i="4"/>
  <c r="CN23" i="4" s="1"/>
  <c r="BS24" i="4"/>
  <c r="BR24" i="4" s="1"/>
  <c r="CN24" i="4" s="1"/>
  <c r="CQ24" i="4"/>
  <c r="CO24" i="4" s="1"/>
  <c r="BR32" i="4"/>
  <c r="CN32" i="4" s="1"/>
  <c r="AX33" i="4"/>
  <c r="DK33" i="4" s="1"/>
  <c r="CO36" i="4"/>
  <c r="AA38" i="4"/>
  <c r="AW38" i="4" s="1"/>
  <c r="AX41" i="4"/>
  <c r="DG41" i="4"/>
  <c r="CO48" i="4"/>
  <c r="AX51" i="4"/>
  <c r="BF93" i="4"/>
  <c r="BR68" i="4"/>
  <c r="CN68" i="4" s="1"/>
  <c r="BR70" i="4"/>
  <c r="CN70" i="4" s="1"/>
  <c r="AB106" i="4"/>
  <c r="AX26" i="4"/>
  <c r="DK26" i="4" s="1"/>
  <c r="DC27" i="4"/>
  <c r="CO27" i="4" s="1"/>
  <c r="DL27" i="4" s="1"/>
  <c r="CM145" i="4"/>
  <c r="CM113" i="4"/>
  <c r="BS98" i="4"/>
  <c r="DD104" i="4"/>
  <c r="BS104" i="4"/>
  <c r="AA117" i="4"/>
  <c r="AW117" i="4" s="1"/>
  <c r="G141" i="4"/>
  <c r="DJ141" i="4" s="1"/>
  <c r="G20" i="4"/>
  <c r="BJ141" i="4"/>
  <c r="BR6" i="4"/>
  <c r="CN6" i="4" s="1"/>
  <c r="CS6" i="4"/>
  <c r="CO6" i="4" s="1"/>
  <c r="DL6" i="4" s="1"/>
  <c r="K139" i="4"/>
  <c r="K144" i="4" s="1"/>
  <c r="K146" i="4" s="1"/>
  <c r="BH139" i="4"/>
  <c r="CR139" i="4"/>
  <c r="CZ139" i="4"/>
  <c r="DL12" i="4"/>
  <c r="CO16" i="4"/>
  <c r="DL16" i="4" s="1"/>
  <c r="AA19" i="4"/>
  <c r="AW19" i="4" s="1"/>
  <c r="N147" i="4"/>
  <c r="BB140" i="4"/>
  <c r="BB60" i="4"/>
  <c r="BJ140" i="4"/>
  <c r="BJ60" i="4"/>
  <c r="CW140" i="4"/>
  <c r="CW60" i="4"/>
  <c r="DL29" i="4"/>
  <c r="AN140" i="4"/>
  <c r="AN60" i="4"/>
  <c r="DL36" i="4"/>
  <c r="CO38" i="4"/>
  <c r="DL38" i="4" s="1"/>
  <c r="CO42" i="4"/>
  <c r="DL42" i="4" s="1"/>
  <c r="BR49" i="4"/>
  <c r="CN49" i="4" s="1"/>
  <c r="DC49" i="4"/>
  <c r="BQ53" i="4"/>
  <c r="AX53" i="4" s="1"/>
  <c r="DK53" i="4" s="1"/>
  <c r="DH53" i="4"/>
  <c r="CO53" i="4" s="1"/>
  <c r="DL53" i="4" s="1"/>
  <c r="CO55" i="4"/>
  <c r="L140" i="4"/>
  <c r="G58" i="4"/>
  <c r="L60" i="4"/>
  <c r="L135" i="4" s="1"/>
  <c r="L147" i="4" s="1"/>
  <c r="CT58" i="4"/>
  <c r="CT60" i="4" s="1"/>
  <c r="BC58" i="4"/>
  <c r="BC60" i="4" s="1"/>
  <c r="BP93" i="4"/>
  <c r="AB71" i="4"/>
  <c r="AX73" i="4"/>
  <c r="DK73" i="4" s="1"/>
  <c r="CO80" i="4"/>
  <c r="DL80" i="4" s="1"/>
  <c r="AX84" i="4"/>
  <c r="BS85" i="4"/>
  <c r="DA85" i="4"/>
  <c r="CO85" i="4" s="1"/>
  <c r="AX95" i="4"/>
  <c r="DK95" i="4" s="1"/>
  <c r="BJ145" i="4"/>
  <c r="BJ113" i="4"/>
  <c r="CX145" i="4"/>
  <c r="CX113" i="4"/>
  <c r="BR128" i="4"/>
  <c r="CN128" i="4" s="1"/>
  <c r="U135" i="4"/>
  <c r="DD140" i="4"/>
  <c r="BR27" i="4"/>
  <c r="CN27" i="4" s="1"/>
  <c r="BK141" i="4"/>
  <c r="AA16" i="4"/>
  <c r="AW16" i="4" s="1"/>
  <c r="BK140" i="4"/>
  <c r="BK60" i="4"/>
  <c r="CP140" i="4"/>
  <c r="CX140" i="4"/>
  <c r="AX28" i="4"/>
  <c r="DK28" i="4" s="1"/>
  <c r="AX36" i="4"/>
  <c r="DL37" i="4"/>
  <c r="BR37" i="4"/>
  <c r="CN37" i="4" s="1"/>
  <c r="BQ40" i="4"/>
  <c r="AA44" i="4"/>
  <c r="AW44" i="4" s="1"/>
  <c r="CO44" i="4"/>
  <c r="DL44" i="4" s="1"/>
  <c r="AX50" i="4"/>
  <c r="AA53" i="4"/>
  <c r="AW53" i="4" s="1"/>
  <c r="DL59" i="4"/>
  <c r="BR59" i="4"/>
  <c r="CN59" i="4" s="1"/>
  <c r="BR61" i="4"/>
  <c r="CN61" i="4" s="1"/>
  <c r="CU142" i="4"/>
  <c r="CU93" i="4"/>
  <c r="DC142" i="4"/>
  <c r="DC93" i="4"/>
  <c r="BX142" i="4"/>
  <c r="BX93" i="4"/>
  <c r="BK145" i="4"/>
  <c r="BK113" i="4"/>
  <c r="CQ145" i="4"/>
  <c r="CQ113" i="4"/>
  <c r="CY145" i="4"/>
  <c r="CY113" i="4"/>
  <c r="BR112" i="4"/>
  <c r="CN112" i="4" s="1"/>
  <c r="DL112" i="4"/>
  <c r="AF137" i="4"/>
  <c r="BA115" i="4"/>
  <c r="BA133" i="4" s="1"/>
  <c r="AF133" i="4"/>
  <c r="AF135" i="4" s="1"/>
  <c r="BA140" i="4"/>
  <c r="BA60" i="4"/>
  <c r="AB22" i="4"/>
  <c r="AZ22" i="4"/>
  <c r="AX22" i="4" s="1"/>
  <c r="BC141" i="4"/>
  <c r="CU141" i="4"/>
  <c r="CU20" i="4"/>
  <c r="BA139" i="4"/>
  <c r="BJ139" i="4"/>
  <c r="BV139" i="4"/>
  <c r="BV20" i="4"/>
  <c r="CT139" i="4"/>
  <c r="DB139" i="4"/>
  <c r="DH13" i="4"/>
  <c r="CO15" i="4"/>
  <c r="DL15" i="4" s="1"/>
  <c r="CY140" i="4"/>
  <c r="DL22" i="4"/>
  <c r="DL52" i="4"/>
  <c r="BR52" i="4"/>
  <c r="CN52" i="4" s="1"/>
  <c r="CO54" i="4"/>
  <c r="DL54" i="4" s="1"/>
  <c r="AX57" i="4"/>
  <c r="DK57" i="4" s="1"/>
  <c r="CQ58" i="4"/>
  <c r="CO58" i="4" s="1"/>
  <c r="BH142" i="4"/>
  <c r="CV142" i="4"/>
  <c r="CV93" i="4"/>
  <c r="DD142" i="4"/>
  <c r="DD93" i="4"/>
  <c r="BR62" i="4"/>
  <c r="CN62" i="4" s="1"/>
  <c r="CF65" i="4"/>
  <c r="BR76" i="4"/>
  <c r="CN76" i="4" s="1"/>
  <c r="BR79" i="4"/>
  <c r="CN79" i="4" s="1"/>
  <c r="DL79" i="4"/>
  <c r="BR87" i="4"/>
  <c r="CN87" i="4" s="1"/>
  <c r="CO97" i="4"/>
  <c r="DH137" i="4"/>
  <c r="DC133" i="4"/>
  <c r="CI146" i="4"/>
  <c r="CV140" i="4"/>
  <c r="CM140" i="4"/>
  <c r="W140" i="4"/>
  <c r="W144" i="4" s="1"/>
  <c r="W146" i="4" s="1"/>
  <c r="W60" i="4"/>
  <c r="W135" i="4" s="1"/>
  <c r="DE34" i="4"/>
  <c r="CO34" i="4" s="1"/>
  <c r="AA45" i="4"/>
  <c r="AW45" i="4" s="1"/>
  <c r="BB66" i="4"/>
  <c r="CS66" i="4"/>
  <c r="CS142" i="4" s="1"/>
  <c r="AA74" i="4"/>
  <c r="AW74" i="4" s="1"/>
  <c r="AA75" i="4"/>
  <c r="AW75" i="4" s="1"/>
  <c r="DL81" i="4"/>
  <c r="DL83" i="4"/>
  <c r="AA87" i="4"/>
  <c r="AW87" i="4" s="1"/>
  <c r="CO89" i="4"/>
  <c r="DL89" i="4" s="1"/>
  <c r="DG145" i="4"/>
  <c r="DG113" i="4"/>
  <c r="BX141" i="4"/>
  <c r="DC141" i="4"/>
  <c r="DC20" i="4"/>
  <c r="BI139" i="4"/>
  <c r="BD141" i="4"/>
  <c r="BL141" i="4"/>
  <c r="CV141" i="4"/>
  <c r="CV144" i="4" s="1"/>
  <c r="CV146" i="4" s="1"/>
  <c r="DD141" i="4"/>
  <c r="AO141" i="4"/>
  <c r="AO20" i="4"/>
  <c r="H135" i="4"/>
  <c r="P135" i="4"/>
  <c r="P147" i="4" s="1"/>
  <c r="Y135" i="4"/>
  <c r="Y147" i="4" s="1"/>
  <c r="BJ20" i="4"/>
  <c r="CV20" i="4"/>
  <c r="BD140" i="4"/>
  <c r="BD60" i="4"/>
  <c r="BD135" i="4" s="1"/>
  <c r="BD147" i="4" s="1"/>
  <c r="AX30" i="4"/>
  <c r="DK30" i="4" s="1"/>
  <c r="CE140" i="4"/>
  <c r="CE144" i="4" s="1"/>
  <c r="CE146" i="4" s="1"/>
  <c r="CZ30" i="4"/>
  <c r="CZ60" i="4" s="1"/>
  <c r="BE141" i="4"/>
  <c r="BE20" i="4"/>
  <c r="BM140" i="4"/>
  <c r="BM20" i="4"/>
  <c r="CW141" i="4"/>
  <c r="DF141" i="4"/>
  <c r="K141" i="4"/>
  <c r="CQ5" i="4"/>
  <c r="AE139" i="4"/>
  <c r="BC139" i="4"/>
  <c r="BK139" i="4"/>
  <c r="BX139" i="4"/>
  <c r="CU139" i="4"/>
  <c r="DC139" i="4"/>
  <c r="DK16" i="4"/>
  <c r="I20" i="4"/>
  <c r="I135" i="4" s="1"/>
  <c r="AJ135" i="4"/>
  <c r="AJ147" i="4" s="1"/>
  <c r="BK20" i="4"/>
  <c r="CW20" i="4"/>
  <c r="DF20" i="4"/>
  <c r="AE140" i="4"/>
  <c r="AE60" i="4"/>
  <c r="AZ21" i="4"/>
  <c r="AX21" i="4" s="1"/>
  <c r="BE140" i="4"/>
  <c r="CR140" i="4"/>
  <c r="CR60" i="4"/>
  <c r="DJ21" i="4"/>
  <c r="AX31" i="4"/>
  <c r="Z140" i="4"/>
  <c r="BQ32" i="4"/>
  <c r="AX32" i="4" s="1"/>
  <c r="DK32" i="4" s="1"/>
  <c r="DH32" i="4"/>
  <c r="CO32" i="4" s="1"/>
  <c r="DL32" i="4" s="1"/>
  <c r="CO33" i="4"/>
  <c r="DL33" i="4" s="1"/>
  <c r="CO39" i="4"/>
  <c r="DL39" i="4" s="1"/>
  <c r="AB40" i="4"/>
  <c r="BL40" i="4"/>
  <c r="AX40" i="4" s="1"/>
  <c r="AA42" i="4"/>
  <c r="AW42" i="4" s="1"/>
  <c r="DK42" i="4"/>
  <c r="BS43" i="4"/>
  <c r="CZ43" i="4"/>
  <c r="CO43" i="4" s="1"/>
  <c r="CO50" i="4"/>
  <c r="DL57" i="4"/>
  <c r="CE60" i="4"/>
  <c r="CP60" i="4"/>
  <c r="AZ142" i="4"/>
  <c r="AZ93" i="4"/>
  <c r="CM142" i="4"/>
  <c r="CM93" i="4"/>
  <c r="CW142" i="4"/>
  <c r="CW93" i="4"/>
  <c r="DF142" i="4"/>
  <c r="DF93" i="4"/>
  <c r="AA64" i="4"/>
  <c r="AW64" i="4" s="1"/>
  <c r="BO142" i="4"/>
  <c r="BO93" i="4"/>
  <c r="DD98" i="4"/>
  <c r="CO98" i="4" s="1"/>
  <c r="BM98" i="4"/>
  <c r="AX98" i="4" s="1"/>
  <c r="DK98" i="4" s="1"/>
  <c r="V145" i="4"/>
  <c r="V146" i="4" s="1"/>
  <c r="V147" i="4" s="1"/>
  <c r="DJ104" i="4"/>
  <c r="AA104" i="4"/>
  <c r="AW104" i="4" s="1"/>
  <c r="DB13" i="4"/>
  <c r="DB20" i="4" s="1"/>
  <c r="O135" i="4"/>
  <c r="X135" i="4"/>
  <c r="X147" i="4" s="1"/>
  <c r="BH140" i="4"/>
  <c r="DB140" i="4"/>
  <c r="AB31" i="4"/>
  <c r="AB41" i="4"/>
  <c r="BR42" i="4"/>
  <c r="CN42" i="4" s="1"/>
  <c r="DC45" i="4"/>
  <c r="CO45" i="4" s="1"/>
  <c r="DL45" i="4" s="1"/>
  <c r="BR46" i="4"/>
  <c r="CN46" i="4" s="1"/>
  <c r="G56" i="4"/>
  <c r="DJ56" i="4" s="1"/>
  <c r="BY140" i="4"/>
  <c r="BY144" i="4" s="1"/>
  <c r="BY146" i="4" s="1"/>
  <c r="BY60" i="4"/>
  <c r="AS60" i="4"/>
  <c r="AS135" i="4" s="1"/>
  <c r="BC61" i="4"/>
  <c r="BK142" i="4"/>
  <c r="BK93" i="4"/>
  <c r="CX142" i="4"/>
  <c r="DG142" i="4"/>
  <c r="CO63" i="4"/>
  <c r="AX71" i="4"/>
  <c r="CO81" i="4"/>
  <c r="AX87" i="4"/>
  <c r="DK87" i="4" s="1"/>
  <c r="DL87" i="4"/>
  <c r="BS97" i="4"/>
  <c r="AX107" i="4"/>
  <c r="DK107" i="4" s="1"/>
  <c r="BQ137" i="4"/>
  <c r="R144" i="4"/>
  <c r="R146" i="4" s="1"/>
  <c r="R147" i="4" s="1"/>
  <c r="AL137" i="4"/>
  <c r="AL144" i="4" s="1"/>
  <c r="AL146" i="4" s="1"/>
  <c r="AL147" i="4" s="1"/>
  <c r="AU144" i="4"/>
  <c r="AU146" i="4" s="1"/>
  <c r="BS35" i="4"/>
  <c r="BR36" i="4"/>
  <c r="CN36" i="4" s="1"/>
  <c r="BO140" i="4"/>
  <c r="AO140" i="4"/>
  <c r="CL140" i="4"/>
  <c r="CL144" i="4" s="1"/>
  <c r="CL146" i="4" s="1"/>
  <c r="BS56" i="4"/>
  <c r="AV142" i="4"/>
  <c r="AV93" i="4"/>
  <c r="BD142" i="4"/>
  <c r="BD93" i="4"/>
  <c r="BL142" i="4"/>
  <c r="BL93" i="4"/>
  <c r="CP142" i="4"/>
  <c r="AB65" i="4"/>
  <c r="AN142" i="4"/>
  <c r="AN93" i="4"/>
  <c r="AN135" i="4" s="1"/>
  <c r="AB66" i="4"/>
  <c r="BI66" i="4"/>
  <c r="BI93" i="4" s="1"/>
  <c r="DH68" i="4"/>
  <c r="CO68" i="4" s="1"/>
  <c r="DL68" i="4" s="1"/>
  <c r="DH70" i="4"/>
  <c r="CO70" i="4" s="1"/>
  <c r="DL70" i="4" s="1"/>
  <c r="CO72" i="4"/>
  <c r="DL72" i="4" s="1"/>
  <c r="DL73" i="4"/>
  <c r="AX76" i="4"/>
  <c r="DK76" i="4" s="1"/>
  <c r="CO78" i="4"/>
  <c r="DL78" i="4" s="1"/>
  <c r="CO88" i="4"/>
  <c r="DL88" i="4" s="1"/>
  <c r="BR102" i="4"/>
  <c r="CN102" i="4" s="1"/>
  <c r="DJ102" i="4"/>
  <c r="CO102" i="4"/>
  <c r="BM108" i="4"/>
  <c r="AX108" i="4" s="1"/>
  <c r="DK108" i="4" s="1"/>
  <c r="BK137" i="4"/>
  <c r="CP133" i="4"/>
  <c r="CP137" i="4"/>
  <c r="CO114" i="4"/>
  <c r="AM137" i="4"/>
  <c r="AM144" i="4" s="1"/>
  <c r="AM146" i="4" s="1"/>
  <c r="AM133" i="4"/>
  <c r="AM135" i="4" s="1"/>
  <c r="BH115" i="4"/>
  <c r="CC137" i="4"/>
  <c r="CC144" i="4" s="1"/>
  <c r="CC146" i="4" s="1"/>
  <c r="CC133" i="4"/>
  <c r="CC135" i="4" s="1"/>
  <c r="CC147" i="4" s="1"/>
  <c r="BS115" i="4"/>
  <c r="AZ23" i="4"/>
  <c r="AX23" i="4" s="1"/>
  <c r="BR28" i="4"/>
  <c r="CN28" i="4" s="1"/>
  <c r="BP140" i="4"/>
  <c r="BI43" i="4"/>
  <c r="BI140" i="4" s="1"/>
  <c r="AB46" i="4"/>
  <c r="BS47" i="4"/>
  <c r="BS48" i="4"/>
  <c r="BR57" i="4"/>
  <c r="CN57" i="4" s="1"/>
  <c r="AU60" i="4"/>
  <c r="AU135" i="4" s="1"/>
  <c r="CJ60" i="4"/>
  <c r="CJ135" i="4" s="1"/>
  <c r="CJ147" i="4" s="1"/>
  <c r="DB60" i="4"/>
  <c r="BE142" i="4"/>
  <c r="BE93" i="4"/>
  <c r="BM141" i="4"/>
  <c r="BM93" i="4"/>
  <c r="G62" i="4"/>
  <c r="CO64" i="4"/>
  <c r="DL64" i="4" s="1"/>
  <c r="AG142" i="4"/>
  <c r="AA68" i="4"/>
  <c r="AW68" i="4" s="1"/>
  <c r="BJ70" i="4"/>
  <c r="AX70" i="4" s="1"/>
  <c r="AB70" i="4"/>
  <c r="CO73" i="4"/>
  <c r="G75" i="4"/>
  <c r="DJ75" i="4" s="1"/>
  <c r="BQ75" i="4"/>
  <c r="AX75" i="4" s="1"/>
  <c r="DK75" i="4" s="1"/>
  <c r="DH75" i="4"/>
  <c r="CO75" i="4" s="1"/>
  <c r="DL75" i="4" s="1"/>
  <c r="G84" i="4"/>
  <c r="DA84" i="4"/>
  <c r="CO84" i="4" s="1"/>
  <c r="DL84" i="4" s="1"/>
  <c r="AX85" i="4"/>
  <c r="DK85" i="4" s="1"/>
  <c r="AA88" i="4"/>
  <c r="AW88" i="4" s="1"/>
  <c r="AG93" i="4"/>
  <c r="CX93" i="4"/>
  <c r="BF113" i="4"/>
  <c r="BP113" i="4"/>
  <c r="BM101" i="4"/>
  <c r="AX101" i="4" s="1"/>
  <c r="DK101" i="4" s="1"/>
  <c r="DD101" i="4"/>
  <c r="CO101" i="4" s="1"/>
  <c r="DL101" i="4" s="1"/>
  <c r="DD107" i="4"/>
  <c r="CO107" i="4" s="1"/>
  <c r="DL107" i="4" s="1"/>
  <c r="BL137" i="4"/>
  <c r="BL133" i="4"/>
  <c r="DB137" i="4"/>
  <c r="AZ115" i="4"/>
  <c r="CQ115" i="4"/>
  <c r="CQ137" i="4" s="1"/>
  <c r="CD137" i="4"/>
  <c r="CD133" i="4"/>
  <c r="CD135" i="4" s="1"/>
  <c r="CY115" i="4"/>
  <c r="CX115" i="4"/>
  <c r="CX137" i="4" s="1"/>
  <c r="T133" i="4"/>
  <c r="T135" i="4" s="1"/>
  <c r="T147" i="4" s="1"/>
  <c r="G126" i="4"/>
  <c r="BK126" i="4"/>
  <c r="DF140" i="4"/>
  <c r="BF142" i="4"/>
  <c r="BP142" i="4"/>
  <c r="CE142" i="4"/>
  <c r="CE93" i="4"/>
  <c r="AX78" i="4"/>
  <c r="DK78" i="4" s="1"/>
  <c r="CO86" i="4"/>
  <c r="DL86" i="4" s="1"/>
  <c r="AB90" i="4"/>
  <c r="BB90" i="4"/>
  <c r="AX90" i="4" s="1"/>
  <c r="BJ91" i="4"/>
  <c r="G92" i="4"/>
  <c r="DJ92" i="4" s="1"/>
  <c r="BQ92" i="4"/>
  <c r="AX92" i="4" s="1"/>
  <c r="DK92" i="4" s="1"/>
  <c r="DH92" i="4"/>
  <c r="CO92" i="4" s="1"/>
  <c r="DL92" i="4" s="1"/>
  <c r="AD145" i="4"/>
  <c r="AY106" i="4"/>
  <c r="AD113" i="4"/>
  <c r="AD135" i="4" s="1"/>
  <c r="BF133" i="4"/>
  <c r="BF137" i="4"/>
  <c r="BA138" i="4"/>
  <c r="BJ138" i="4"/>
  <c r="T143" i="4"/>
  <c r="AY142" i="4"/>
  <c r="BG142" i="4"/>
  <c r="CQ142" i="4"/>
  <c r="CY142" i="4"/>
  <c r="BJ64" i="4"/>
  <c r="AX64" i="4" s="1"/>
  <c r="DK64" i="4" s="1"/>
  <c r="CZ66" i="4"/>
  <c r="G70" i="4"/>
  <c r="DJ70" i="4" s="1"/>
  <c r="BQ70" i="4"/>
  <c r="G73" i="4"/>
  <c r="DJ73" i="4" s="1"/>
  <c r="DJ74" i="4"/>
  <c r="G77" i="4"/>
  <c r="CS77" i="4"/>
  <c r="CO77" i="4" s="1"/>
  <c r="DL77" i="4" s="1"/>
  <c r="BR82" i="4"/>
  <c r="CN82" i="4" s="1"/>
  <c r="G91" i="4"/>
  <c r="DJ91" i="4" s="1"/>
  <c r="L93" i="4"/>
  <c r="BE145" i="4"/>
  <c r="CR145" i="4"/>
  <c r="CR113" i="4"/>
  <c r="CZ145" i="4"/>
  <c r="CZ113" i="4"/>
  <c r="G97" i="4"/>
  <c r="DJ97" i="4" s="1"/>
  <c r="BM97" i="4"/>
  <c r="AX97" i="4" s="1"/>
  <c r="DK97" i="4" s="1"/>
  <c r="CO100" i="4"/>
  <c r="BM102" i="4"/>
  <c r="AX102" i="4" s="1"/>
  <c r="AB102" i="4"/>
  <c r="DK111" i="4"/>
  <c r="Q137" i="4"/>
  <c r="Q133" i="4"/>
  <c r="Q135" i="4" s="1"/>
  <c r="BH114" i="4"/>
  <c r="BB137" i="4"/>
  <c r="BM133" i="4"/>
  <c r="CR116" i="4"/>
  <c r="BS116" i="4"/>
  <c r="DJ123" i="4"/>
  <c r="BS130" i="4"/>
  <c r="CS130" i="4"/>
  <c r="CO130" i="4" s="1"/>
  <c r="CR142" i="4"/>
  <c r="CR93" i="4"/>
  <c r="CZ142" i="4"/>
  <c r="CZ93" i="4"/>
  <c r="BS66" i="4"/>
  <c r="DA91" i="4"/>
  <c r="CO91" i="4" s="1"/>
  <c r="DL91" i="4" s="1"/>
  <c r="BF145" i="4"/>
  <c r="CS145" i="4"/>
  <c r="CS113" i="4"/>
  <c r="DA145" i="4"/>
  <c r="CT113" i="4"/>
  <c r="AQ145" i="4"/>
  <c r="AQ113" i="4"/>
  <c r="BL100" i="4"/>
  <c r="AX100" i="4" s="1"/>
  <c r="DK100" i="4" s="1"/>
  <c r="DH104" i="4"/>
  <c r="DH113" i="4" s="1"/>
  <c r="BQ104" i="4"/>
  <c r="AX104" i="4" s="1"/>
  <c r="DK104" i="4" s="1"/>
  <c r="DK105" i="4"/>
  <c r="BC133" i="4"/>
  <c r="BC137" i="4"/>
  <c r="BP137" i="4"/>
  <c r="BP133" i="4"/>
  <c r="DJ129" i="4"/>
  <c r="BR129" i="4"/>
  <c r="CN129" i="4" s="1"/>
  <c r="AO142" i="4"/>
  <c r="K142" i="4"/>
  <c r="BG145" i="4"/>
  <c r="BG113" i="4"/>
  <c r="BR109" i="4"/>
  <c r="CN109" i="4" s="1"/>
  <c r="G137" i="4"/>
  <c r="DJ114" i="4"/>
  <c r="AA114" i="4"/>
  <c r="AW114" i="4" s="1"/>
  <c r="BD144" i="4"/>
  <c r="BD146" i="4" s="1"/>
  <c r="AV138" i="4"/>
  <c r="AA129" i="4"/>
  <c r="AW129" i="4" s="1"/>
  <c r="CT61" i="4"/>
  <c r="DB142" i="4"/>
  <c r="S142" i="4"/>
  <c r="S144" i="4" s="1"/>
  <c r="S146" i="4" s="1"/>
  <c r="S147" i="4" s="1"/>
  <c r="BH145" i="4"/>
  <c r="CU145" i="4"/>
  <c r="CU113" i="4"/>
  <c r="AA99" i="4"/>
  <c r="AW99" i="4" s="1"/>
  <c r="DK99" i="4"/>
  <c r="DL103" i="4"/>
  <c r="BR103" i="4"/>
  <c r="CN103" i="4" s="1"/>
  <c r="CP106" i="4"/>
  <c r="CO106" i="4" s="1"/>
  <c r="DL106" i="4" s="1"/>
  <c r="BU113" i="4"/>
  <c r="BU135" i="4" s="1"/>
  <c r="BU145" i="4"/>
  <c r="BR110" i="4"/>
  <c r="CN110" i="4" s="1"/>
  <c r="DL110" i="4"/>
  <c r="AZ114" i="4"/>
  <c r="I137" i="4"/>
  <c r="I144" i="4" s="1"/>
  <c r="I146" i="4" s="1"/>
  <c r="DG138" i="4"/>
  <c r="DL119" i="4"/>
  <c r="DH123" i="4"/>
  <c r="CO123" i="4" s="1"/>
  <c r="DL123" i="4" s="1"/>
  <c r="BQ123" i="4"/>
  <c r="AA124" i="4"/>
  <c r="AW124" i="4" s="1"/>
  <c r="CK143" i="4"/>
  <c r="CK144" i="4" s="1"/>
  <c r="CK146" i="4" s="1"/>
  <c r="DF126" i="4"/>
  <c r="DF143" i="4" s="1"/>
  <c r="BD133" i="4"/>
  <c r="BA145" i="4"/>
  <c r="BI145" i="4"/>
  <c r="CT145" i="4"/>
  <c r="DB145" i="4"/>
  <c r="BR105" i="4"/>
  <c r="CN105" i="4" s="1"/>
  <c r="G109" i="4"/>
  <c r="DJ109" i="4" s="1"/>
  <c r="DC109" i="4"/>
  <c r="CO109" i="4" s="1"/>
  <c r="DL109" i="4" s="1"/>
  <c r="AA110" i="4"/>
  <c r="AW110" i="4" s="1"/>
  <c r="BR111" i="4"/>
  <c r="CN111" i="4" s="1"/>
  <c r="BI113" i="4"/>
  <c r="J133" i="4"/>
  <c r="CR114" i="4"/>
  <c r="J137" i="4"/>
  <c r="J144" i="4" s="1"/>
  <c r="J146" i="4" s="1"/>
  <c r="CT137" i="4"/>
  <c r="CT133" i="4"/>
  <c r="BG115" i="4"/>
  <c r="BG133" i="4" s="1"/>
  <c r="P133" i="4"/>
  <c r="BE138" i="4"/>
  <c r="BP138" i="4"/>
  <c r="AB118" i="4"/>
  <c r="AA123" i="4"/>
  <c r="AW123" i="4" s="1"/>
  <c r="AA125" i="4"/>
  <c r="AW125" i="4" s="1"/>
  <c r="AE133" i="4"/>
  <c r="CJ144" i="4"/>
  <c r="CJ146" i="4" s="1"/>
  <c r="M137" i="4"/>
  <c r="M144" i="4" s="1"/>
  <c r="M146" i="4" s="1"/>
  <c r="M133" i="4"/>
  <c r="M135" i="4" s="1"/>
  <c r="M147" i="4" s="1"/>
  <c r="AV137" i="4"/>
  <c r="AV133" i="4"/>
  <c r="BR114" i="4"/>
  <c r="CN114" i="4" s="1"/>
  <c r="CU114" i="4"/>
  <c r="DD137" i="4"/>
  <c r="DD133" i="4"/>
  <c r="BF138" i="4"/>
  <c r="CT138" i="4"/>
  <c r="DH119" i="4"/>
  <c r="BQ119" i="4"/>
  <c r="AX119" i="4" s="1"/>
  <c r="DK119" i="4" s="1"/>
  <c r="G119" i="4"/>
  <c r="AB143" i="4"/>
  <c r="CS132" i="4"/>
  <c r="BS132" i="4"/>
  <c r="CV145" i="4"/>
  <c r="BR108" i="4"/>
  <c r="CN108" i="4" s="1"/>
  <c r="BA113" i="4"/>
  <c r="CV113" i="4"/>
  <c r="BI133" i="4"/>
  <c r="BI137" i="4"/>
  <c r="BV137" i="4"/>
  <c r="BV133" i="4"/>
  <c r="CV133" i="4"/>
  <c r="BV138" i="4"/>
  <c r="BS117" i="4"/>
  <c r="DD138" i="4"/>
  <c r="AX120" i="4"/>
  <c r="DK120" i="4" s="1"/>
  <c r="G121" i="4"/>
  <c r="AA121" i="4" s="1"/>
  <c r="AW121" i="4" s="1"/>
  <c r="CQ121" i="4"/>
  <c r="AZ121" i="4"/>
  <c r="AT143" i="4"/>
  <c r="AT144" i="4" s="1"/>
  <c r="AT146" i="4" s="1"/>
  <c r="AT133" i="4"/>
  <c r="AT135" i="4" s="1"/>
  <c r="BO126" i="4"/>
  <c r="DJ132" i="4"/>
  <c r="AA132" i="4"/>
  <c r="AW132" i="4" s="1"/>
  <c r="AR145" i="4"/>
  <c r="BD145" i="4"/>
  <c r="BD113" i="4"/>
  <c r="CW145" i="4"/>
  <c r="DF145" i="4"/>
  <c r="AV145" i="4"/>
  <c r="AV113" i="4"/>
  <c r="U145" i="4"/>
  <c r="BO145" i="4"/>
  <c r="BO113" i="4"/>
  <c r="DD105" i="4"/>
  <c r="CO105" i="4" s="1"/>
  <c r="DL105" i="4" s="1"/>
  <c r="AR113" i="4"/>
  <c r="AR135" i="4" s="1"/>
  <c r="CW113" i="4"/>
  <c r="O137" i="4"/>
  <c r="O144" i="4" s="1"/>
  <c r="O146" i="4" s="1"/>
  <c r="O133" i="4"/>
  <c r="CW114" i="4"/>
  <c r="BJ137" i="4"/>
  <c r="CM137" i="4"/>
  <c r="CM133" i="4"/>
  <c r="CX133" i="4"/>
  <c r="DG137" i="4"/>
  <c r="DG133" i="4"/>
  <c r="BW137" i="4"/>
  <c r="BW144" i="4" s="1"/>
  <c r="BW146" i="4" s="1"/>
  <c r="BW133" i="4"/>
  <c r="BW135" i="4" s="1"/>
  <c r="CR115" i="4"/>
  <c r="BI138" i="4"/>
  <c r="DF138" i="4"/>
  <c r="BQ121" i="4"/>
  <c r="AX121" i="4" s="1"/>
  <c r="DK121" i="4" s="1"/>
  <c r="DH121" i="4"/>
  <c r="CO121" i="4" s="1"/>
  <c r="DL121" i="4" s="1"/>
  <c r="CF133" i="4"/>
  <c r="BS125" i="4"/>
  <c r="CF138" i="4"/>
  <c r="DA125" i="4"/>
  <c r="DA133" i="4" s="1"/>
  <c r="BS126" i="4"/>
  <c r="AX130" i="4"/>
  <c r="DK130" i="4" s="1"/>
  <c r="AB131" i="4"/>
  <c r="BB131" i="4"/>
  <c r="AX131" i="4" s="1"/>
  <c r="BE114" i="4"/>
  <c r="DF137" i="4"/>
  <c r="CY116" i="4"/>
  <c r="BH116" i="4"/>
  <c r="AX116" i="4" s="1"/>
  <c r="DK116" i="4" s="1"/>
  <c r="BM138" i="4"/>
  <c r="CX138" i="4"/>
  <c r="AO138" i="4"/>
  <c r="AO133" i="4"/>
  <c r="BJ125" i="4"/>
  <c r="AX125" i="4" s="1"/>
  <c r="DK125" i="4" s="1"/>
  <c r="BB128" i="4"/>
  <c r="AX128" i="4" s="1"/>
  <c r="DK128" i="4" s="1"/>
  <c r="AX129" i="4"/>
  <c r="DK129" i="4" s="1"/>
  <c r="T144" i="4"/>
  <c r="T146" i="4" s="1"/>
  <c r="BM142" i="4"/>
  <c r="CO122" i="4"/>
  <c r="DL122" i="4" s="1"/>
  <c r="AX123" i="4"/>
  <c r="DK123" i="4" s="1"/>
  <c r="BX133" i="4"/>
  <c r="BQ120" i="4"/>
  <c r="G120" i="4"/>
  <c r="DK122" i="4"/>
  <c r="AZ124" i="4"/>
  <c r="AX124" i="4" s="1"/>
  <c r="DK124" i="4" s="1"/>
  <c r="CO132" i="4"/>
  <c r="AH144" i="4"/>
  <c r="AH146" i="4" s="1"/>
  <c r="AZ109" i="4"/>
  <c r="AX109" i="4" s="1"/>
  <c r="DK109" i="4" s="1"/>
  <c r="Z137" i="4"/>
  <c r="CZ133" i="4"/>
  <c r="CZ137" i="4"/>
  <c r="AB115" i="4"/>
  <c r="I138" i="4"/>
  <c r="CQ117" i="4"/>
  <c r="CQ138" i="4" s="1"/>
  <c r="AZ117" i="4"/>
  <c r="BG138" i="4"/>
  <c r="DB138" i="4"/>
  <c r="AZ118" i="4"/>
  <c r="AX118" i="4" s="1"/>
  <c r="CQ119" i="4"/>
  <c r="CO119" i="4" s="1"/>
  <c r="BB127" i="4"/>
  <c r="AX127" i="4" s="1"/>
  <c r="DK127" i="4" s="1"/>
  <c r="K133" i="4"/>
  <c r="Z133" i="4"/>
  <c r="CS137" i="4"/>
  <c r="DA137" i="4"/>
  <c r="G124" i="4"/>
  <c r="DJ124" i="4" s="1"/>
  <c r="AB126" i="4"/>
  <c r="L144" i="4"/>
  <c r="L146" i="4" s="1"/>
  <c r="U144" i="4"/>
  <c r="U146" i="4" s="1"/>
  <c r="CG143" i="4"/>
  <c r="CG144" i="4" s="1"/>
  <c r="CG146" i="4" s="1"/>
  <c r="CG133" i="4"/>
  <c r="DC138" i="4"/>
  <c r="H144" i="4"/>
  <c r="H146" i="4" s="1"/>
  <c r="AI144" i="4"/>
  <c r="AI146" i="4" s="1"/>
  <c r="AI147" i="4" s="1"/>
  <c r="BU144" i="4"/>
  <c r="BU146" i="4" s="1"/>
  <c r="BR96" i="4" l="1"/>
  <c r="CN96" i="4" s="1"/>
  <c r="BQ140" i="4"/>
  <c r="CH140" i="4"/>
  <c r="CH144" i="4" s="1"/>
  <c r="CH146" i="4" s="1"/>
  <c r="BB113" i="4"/>
  <c r="BX147" i="5"/>
  <c r="BS139" i="4"/>
  <c r="BR51" i="4"/>
  <c r="CN51" i="4" s="1"/>
  <c r="AQ146" i="4"/>
  <c r="BV147" i="5"/>
  <c r="CO116" i="4"/>
  <c r="DC40" i="4"/>
  <c r="CO40" i="4" s="1"/>
  <c r="DL40" i="4" s="1"/>
  <c r="BX20" i="4"/>
  <c r="DG140" i="4"/>
  <c r="DG144" i="4" s="1"/>
  <c r="DG146" i="4" s="1"/>
  <c r="AO147" i="5"/>
  <c r="AX8" i="4"/>
  <c r="DK8" i="4" s="1"/>
  <c r="CS139" i="4"/>
  <c r="AB141" i="4"/>
  <c r="BS13" i="4"/>
  <c r="BS20" i="4" s="1"/>
  <c r="BR20" i="4" s="1"/>
  <c r="CN20" i="4" s="1"/>
  <c r="AR146" i="4"/>
  <c r="AE144" i="4"/>
  <c r="AE146" i="4" s="1"/>
  <c r="DC140" i="4"/>
  <c r="DC144" i="4" s="1"/>
  <c r="AX106" i="4"/>
  <c r="DL63" i="4"/>
  <c r="BI147" i="5"/>
  <c r="CO138" i="5"/>
  <c r="CT141" i="4"/>
  <c r="DC135" i="5"/>
  <c r="DC147" i="5" s="1"/>
  <c r="BB20" i="4"/>
  <c r="AB133" i="4"/>
  <c r="CO115" i="4"/>
  <c r="CS133" i="4"/>
  <c r="AX91" i="4"/>
  <c r="DK91" i="4" s="1"/>
  <c r="DM88" i="4"/>
  <c r="DK51" i="4"/>
  <c r="BB141" i="4"/>
  <c r="CH135" i="4"/>
  <c r="CO13" i="4"/>
  <c r="DL13" i="4" s="1"/>
  <c r="BQ135" i="5"/>
  <c r="BP147" i="5"/>
  <c r="AX60" i="5"/>
  <c r="AX113" i="5"/>
  <c r="BC144" i="5"/>
  <c r="BC146" i="5" s="1"/>
  <c r="BS138" i="4"/>
  <c r="BR137" i="5"/>
  <c r="CN137" i="5" s="1"/>
  <c r="DL55" i="4"/>
  <c r="CO41" i="4"/>
  <c r="DL41" i="4" s="1"/>
  <c r="BB135" i="5"/>
  <c r="BB147" i="5" s="1"/>
  <c r="CF147" i="5"/>
  <c r="CO140" i="5"/>
  <c r="CO60" i="5"/>
  <c r="CH147" i="5"/>
  <c r="BL147" i="5"/>
  <c r="DG147" i="5"/>
  <c r="DD147" i="5"/>
  <c r="BJ147" i="5"/>
  <c r="DF147" i="5"/>
  <c r="CX147" i="5"/>
  <c r="CO145" i="5"/>
  <c r="CP146" i="5"/>
  <c r="CP147" i="5" s="1"/>
  <c r="AX138" i="5"/>
  <c r="AQ147" i="5"/>
  <c r="CR147" i="5"/>
  <c r="AX141" i="5"/>
  <c r="BA147" i="5"/>
  <c r="CO142" i="5"/>
  <c r="AX145" i="5"/>
  <c r="BL146" i="5"/>
  <c r="DB144" i="5"/>
  <c r="DB146" i="5" s="1"/>
  <c r="DB147" i="5" s="1"/>
  <c r="AX140" i="5"/>
  <c r="BR52" i="5"/>
  <c r="CN52" i="5" s="1"/>
  <c r="BK147" i="5"/>
  <c r="BR20" i="5"/>
  <c r="CN20" i="5" s="1"/>
  <c r="DA144" i="5"/>
  <c r="DA146" i="5" s="1"/>
  <c r="DA147" i="5" s="1"/>
  <c r="AB144" i="5"/>
  <c r="AA137" i="5"/>
  <c r="AW137" i="5" s="1"/>
  <c r="CQ135" i="5"/>
  <c r="BQ144" i="5"/>
  <c r="BQ146" i="5" s="1"/>
  <c r="BQ147" i="5" s="1"/>
  <c r="BR142" i="5"/>
  <c r="CN142" i="5" s="1"/>
  <c r="AA133" i="5"/>
  <c r="AW133" i="5" s="1"/>
  <c r="CO9" i="5"/>
  <c r="CQ139" i="5"/>
  <c r="BC135" i="5"/>
  <c r="BR139" i="5"/>
  <c r="CN139" i="5" s="1"/>
  <c r="BR140" i="5"/>
  <c r="CN140" i="5" s="1"/>
  <c r="AX133" i="5"/>
  <c r="AA142" i="5"/>
  <c r="AW142" i="5" s="1"/>
  <c r="AA93" i="5"/>
  <c r="AW93" i="5" s="1"/>
  <c r="AX142" i="5"/>
  <c r="G135" i="5"/>
  <c r="AY147" i="5"/>
  <c r="I147" i="5"/>
  <c r="AA145" i="5"/>
  <c r="AW145" i="5" s="1"/>
  <c r="BR133" i="5"/>
  <c r="CN133" i="5" s="1"/>
  <c r="AA138" i="5"/>
  <c r="AW138" i="5" s="1"/>
  <c r="AB135" i="5"/>
  <c r="AA20" i="5"/>
  <c r="AW20" i="5" s="1"/>
  <c r="AA113" i="5"/>
  <c r="AW113" i="5" s="1"/>
  <c r="AA60" i="5"/>
  <c r="AW60" i="5" s="1"/>
  <c r="AX20" i="5"/>
  <c r="BR93" i="5"/>
  <c r="CN93" i="5" s="1"/>
  <c r="DH20" i="5"/>
  <c r="DH135" i="5" s="1"/>
  <c r="DH141" i="5"/>
  <c r="DH144" i="5" s="1"/>
  <c r="DH146" i="5" s="1"/>
  <c r="CO113" i="5"/>
  <c r="BS60" i="5"/>
  <c r="BS135" i="5" s="1"/>
  <c r="BO147" i="5"/>
  <c r="BR138" i="5"/>
  <c r="CN138" i="5" s="1"/>
  <c r="CO5" i="5"/>
  <c r="CO133" i="5"/>
  <c r="AZ144" i="5"/>
  <c r="AZ146" i="5" s="1"/>
  <c r="BS141" i="5"/>
  <c r="G144" i="5"/>
  <c r="BR113" i="5"/>
  <c r="CN113" i="5" s="1"/>
  <c r="CN60" i="5"/>
  <c r="AX143" i="5"/>
  <c r="CS141" i="5"/>
  <c r="BM146" i="5"/>
  <c r="BM147" i="5" s="1"/>
  <c r="AZ135" i="5"/>
  <c r="CT147" i="5"/>
  <c r="AX137" i="5"/>
  <c r="CM147" i="5"/>
  <c r="CZ147" i="5"/>
  <c r="BR13" i="5"/>
  <c r="CN13" i="5" s="1"/>
  <c r="BR145" i="5"/>
  <c r="CN145" i="5" s="1"/>
  <c r="CS20" i="5"/>
  <c r="CS135" i="5" s="1"/>
  <c r="AT147" i="4"/>
  <c r="BP144" i="4"/>
  <c r="BP146" i="4" s="1"/>
  <c r="DB135" i="4"/>
  <c r="AO144" i="4"/>
  <c r="AO146" i="4" s="1"/>
  <c r="CD144" i="4"/>
  <c r="CD146" i="4" s="1"/>
  <c r="CD147" i="4" s="1"/>
  <c r="AB142" i="4"/>
  <c r="BB142" i="4"/>
  <c r="DG60" i="4"/>
  <c r="DG135" i="4" s="1"/>
  <c r="AX58" i="4"/>
  <c r="DK58" i="4" s="1"/>
  <c r="AH135" i="4"/>
  <c r="AH147" i="4" s="1"/>
  <c r="DK36" i="4"/>
  <c r="BQ113" i="4"/>
  <c r="BL145" i="4"/>
  <c r="DL102" i="4"/>
  <c r="DL58" i="4"/>
  <c r="DK50" i="4"/>
  <c r="BC140" i="4"/>
  <c r="BB93" i="4"/>
  <c r="CO49" i="4"/>
  <c r="DL49" i="4" s="1"/>
  <c r="AX6" i="4"/>
  <c r="DK6" i="4" s="1"/>
  <c r="AN144" i="4"/>
  <c r="AN146" i="4" s="1"/>
  <c r="AN147" i="4" s="1"/>
  <c r="CK147" i="4"/>
  <c r="BM144" i="4"/>
  <c r="AM147" i="4"/>
  <c r="BX144" i="4"/>
  <c r="BX146" i="4" s="1"/>
  <c r="DL34" i="4"/>
  <c r="DK81" i="4"/>
  <c r="DB141" i="4"/>
  <c r="DB143" i="4"/>
  <c r="CO143" i="4" s="1"/>
  <c r="CG135" i="4"/>
  <c r="CG147" i="4" s="1"/>
  <c r="CE147" i="4"/>
  <c r="CQ133" i="4"/>
  <c r="BQ60" i="4"/>
  <c r="BQ20" i="4"/>
  <c r="DK12" i="4"/>
  <c r="AQ135" i="4"/>
  <c r="CO9" i="4"/>
  <c r="DL9" i="4" s="1"/>
  <c r="CY138" i="4"/>
  <c r="AG144" i="4"/>
  <c r="AG146" i="4" s="1"/>
  <c r="BL113" i="4"/>
  <c r="DF144" i="4"/>
  <c r="DF146" i="4" s="1"/>
  <c r="DH133" i="4"/>
  <c r="BG137" i="4"/>
  <c r="AB139" i="4"/>
  <c r="AZ138" i="4"/>
  <c r="DF133" i="4"/>
  <c r="DF135" i="4" s="1"/>
  <c r="AX103" i="4"/>
  <c r="CY137" i="4"/>
  <c r="CZ140" i="4"/>
  <c r="AV135" i="4"/>
  <c r="DK15" i="4"/>
  <c r="BL140" i="4"/>
  <c r="BL144" i="4" s="1"/>
  <c r="DL99" i="4"/>
  <c r="DH20" i="4"/>
  <c r="DH141" i="4"/>
  <c r="Q147" i="4"/>
  <c r="AR147" i="4"/>
  <c r="CT142" i="4"/>
  <c r="CT93" i="4"/>
  <c r="AA90" i="4"/>
  <c r="AW90" i="4" s="1"/>
  <c r="DK90" i="4"/>
  <c r="DL43" i="4"/>
  <c r="BR43" i="4"/>
  <c r="CN43" i="4" s="1"/>
  <c r="BU147" i="4"/>
  <c r="CF93" i="4"/>
  <c r="CF135" i="4" s="1"/>
  <c r="DA65" i="4"/>
  <c r="DL98" i="4"/>
  <c r="BR98" i="4"/>
  <c r="CN98" i="4" s="1"/>
  <c r="K147" i="4"/>
  <c r="DD145" i="4"/>
  <c r="DD113" i="4"/>
  <c r="DD135" i="4" s="1"/>
  <c r="BJ142" i="4"/>
  <c r="BJ144" i="4" s="1"/>
  <c r="BJ146" i="4" s="1"/>
  <c r="AA79" i="4"/>
  <c r="AW79" i="4" s="1"/>
  <c r="DK79" i="4"/>
  <c r="BS65" i="4"/>
  <c r="DL11" i="4"/>
  <c r="BR11" i="4"/>
  <c r="CN11" i="4" s="1"/>
  <c r="AB145" i="4"/>
  <c r="CP144" i="4"/>
  <c r="DK65" i="4"/>
  <c r="AA65" i="4"/>
  <c r="AW65" i="4" s="1"/>
  <c r="CO125" i="4"/>
  <c r="BR29" i="4"/>
  <c r="CN29" i="4" s="1"/>
  <c r="AA143" i="4"/>
  <c r="AW143" i="4" s="1"/>
  <c r="DL115" i="4"/>
  <c r="BR115" i="4"/>
  <c r="CN115" i="4" s="1"/>
  <c r="DL56" i="4"/>
  <c r="BR56" i="4"/>
  <c r="CN56" i="4" s="1"/>
  <c r="BR97" i="4"/>
  <c r="CN97" i="4" s="1"/>
  <c r="DL97" i="4"/>
  <c r="O147" i="4"/>
  <c r="DH60" i="4"/>
  <c r="U147" i="4"/>
  <c r="CX135" i="4"/>
  <c r="BA135" i="4"/>
  <c r="DJ67" i="4"/>
  <c r="AA67" i="4"/>
  <c r="AW67" i="4" s="1"/>
  <c r="BX135" i="4"/>
  <c r="BX147" i="4" s="1"/>
  <c r="BR100" i="4"/>
  <c r="CN100" i="4" s="1"/>
  <c r="DL100" i="4"/>
  <c r="BW147" i="4"/>
  <c r="BS60" i="4"/>
  <c r="BR21" i="4"/>
  <c r="CN21" i="4" s="1"/>
  <c r="AA8" i="4"/>
  <c r="AW8" i="4" s="1"/>
  <c r="BR31" i="4"/>
  <c r="CN31" i="4" s="1"/>
  <c r="DL31" i="4"/>
  <c r="CR135" i="4"/>
  <c r="CR147" i="4" s="1"/>
  <c r="BR13" i="4"/>
  <c r="CN13" i="4" s="1"/>
  <c r="BS140" i="4"/>
  <c r="DA138" i="4"/>
  <c r="BS133" i="4"/>
  <c r="BJ133" i="4"/>
  <c r="BO143" i="4"/>
  <c r="BO144" i="4" s="1"/>
  <c r="BO146" i="4" s="1"/>
  <c r="BO133" i="4"/>
  <c r="BO135" i="4" s="1"/>
  <c r="BR117" i="4"/>
  <c r="CN117" i="4" s="1"/>
  <c r="AZ137" i="4"/>
  <c r="AX114" i="4"/>
  <c r="AZ133" i="4"/>
  <c r="AZ145" i="4"/>
  <c r="DJ137" i="4"/>
  <c r="AY145" i="4"/>
  <c r="BM145" i="4"/>
  <c r="BM146" i="4" s="1"/>
  <c r="BR73" i="4"/>
  <c r="CN73" i="4" s="1"/>
  <c r="BA137" i="4"/>
  <c r="BA144" i="4" s="1"/>
  <c r="BA146" i="4" s="1"/>
  <c r="BR84" i="4"/>
  <c r="CN84" i="4" s="1"/>
  <c r="DJ84" i="4"/>
  <c r="BR92" i="4"/>
  <c r="CN92" i="4" s="1"/>
  <c r="AZ140" i="4"/>
  <c r="AZ60" i="4"/>
  <c r="AF144" i="4"/>
  <c r="AF146" i="4" s="1"/>
  <c r="AF147" i="4" s="1"/>
  <c r="AB137" i="4"/>
  <c r="CP113" i="4"/>
  <c r="CP135" i="4" s="1"/>
  <c r="BR67" i="4"/>
  <c r="CN67" i="4" s="1"/>
  <c r="G60" i="4"/>
  <c r="DJ60" i="4" s="1"/>
  <c r="BI60" i="4"/>
  <c r="BI135" i="4" s="1"/>
  <c r="AX17" i="4"/>
  <c r="DK17" i="4" s="1"/>
  <c r="AG135" i="4"/>
  <c r="CS20" i="4"/>
  <c r="CQ139" i="4"/>
  <c r="CO139" i="4" s="1"/>
  <c r="DL139" i="4" s="1"/>
  <c r="CO8" i="4"/>
  <c r="DL8" i="4" s="1"/>
  <c r="CO66" i="4"/>
  <c r="DL66" i="4" s="1"/>
  <c r="AA5" i="4"/>
  <c r="AW5" i="4" s="1"/>
  <c r="BB139" i="4"/>
  <c r="BB144" i="4" s="1"/>
  <c r="BB146" i="4" s="1"/>
  <c r="AA56" i="4"/>
  <c r="AW56" i="4" s="1"/>
  <c r="BG135" i="4"/>
  <c r="DK103" i="4"/>
  <c r="AA103" i="4"/>
  <c r="AW103" i="4" s="1"/>
  <c r="CO117" i="4"/>
  <c r="DL117" i="4" s="1"/>
  <c r="DJ49" i="4"/>
  <c r="AA49" i="4"/>
  <c r="AW49" i="4" s="1"/>
  <c r="AZ139" i="4"/>
  <c r="AX139" i="4" s="1"/>
  <c r="DK102" i="4"/>
  <c r="AA102" i="4"/>
  <c r="AW102" i="4" s="1"/>
  <c r="DJ20" i="4"/>
  <c r="AA91" i="4"/>
  <c r="AW91" i="4" s="1"/>
  <c r="DC60" i="4"/>
  <c r="AA46" i="4"/>
  <c r="AW46" i="4" s="1"/>
  <c r="DK46" i="4"/>
  <c r="DH140" i="4"/>
  <c r="G139" i="4"/>
  <c r="DJ139" i="4" s="1"/>
  <c r="DJ8" i="4"/>
  <c r="CO61" i="4"/>
  <c r="BQ141" i="4"/>
  <c r="DK21" i="4"/>
  <c r="BB133" i="4"/>
  <c r="BB135" i="4" s="1"/>
  <c r="BM113" i="4"/>
  <c r="BM135" i="4"/>
  <c r="AA115" i="4"/>
  <c r="AW115" i="4" s="1"/>
  <c r="AX126" i="4"/>
  <c r="BK143" i="4"/>
  <c r="AX115" i="4"/>
  <c r="DK115" i="4" s="1"/>
  <c r="CL147" i="4"/>
  <c r="CO95" i="4"/>
  <c r="CS93" i="4"/>
  <c r="CS141" i="4"/>
  <c r="BQ138" i="4"/>
  <c r="DK131" i="4"/>
  <c r="AA131" i="4"/>
  <c r="AW131" i="4" s="1"/>
  <c r="AY144" i="4"/>
  <c r="DJ119" i="4"/>
  <c r="AA119" i="4"/>
  <c r="AW119" i="4" s="1"/>
  <c r="CU133" i="4"/>
  <c r="CU137" i="4"/>
  <c r="CU144" i="4" s="1"/>
  <c r="CU146" i="4" s="1"/>
  <c r="AB138" i="4"/>
  <c r="CR137" i="4"/>
  <c r="CR144" i="4" s="1"/>
  <c r="CR146" i="4" s="1"/>
  <c r="CR133" i="4"/>
  <c r="G133" i="4"/>
  <c r="DJ133" i="4" s="1"/>
  <c r="BR119" i="4"/>
  <c r="CN119" i="4" s="1"/>
  <c r="DC113" i="4"/>
  <c r="DC135" i="4" s="1"/>
  <c r="G145" i="4"/>
  <c r="DJ145" i="4" s="1"/>
  <c r="DL130" i="4"/>
  <c r="BR130" i="4"/>
  <c r="CN130" i="4" s="1"/>
  <c r="AD146" i="4"/>
  <c r="AD147" i="4" s="1"/>
  <c r="AA109" i="4"/>
  <c r="AW109" i="4" s="1"/>
  <c r="G143" i="4"/>
  <c r="DJ143" i="4" s="1"/>
  <c r="DJ126" i="4"/>
  <c r="AB113" i="4"/>
  <c r="AA66" i="4"/>
  <c r="AW66" i="4" s="1"/>
  <c r="BR91" i="4"/>
  <c r="CN91" i="4" s="1"/>
  <c r="AB140" i="4"/>
  <c r="H147" i="4"/>
  <c r="CY133" i="4"/>
  <c r="CY135" i="4" s="1"/>
  <c r="CP145" i="4"/>
  <c r="BR85" i="4"/>
  <c r="CN85" i="4" s="1"/>
  <c r="DL85" i="4"/>
  <c r="BF135" i="4"/>
  <c r="Z135" i="4"/>
  <c r="Z147" i="4" s="1"/>
  <c r="AA82" i="4"/>
  <c r="AW82" i="4" s="1"/>
  <c r="DK82" i="4"/>
  <c r="CZ135" i="4"/>
  <c r="G142" i="4"/>
  <c r="DJ142" i="4" s="1"/>
  <c r="G93" i="4"/>
  <c r="DJ93" i="4" s="1"/>
  <c r="DJ61" i="4"/>
  <c r="AA61" i="4"/>
  <c r="AW61" i="4" s="1"/>
  <c r="DH138" i="4"/>
  <c r="AE135" i="4"/>
  <c r="AE147" i="4" s="1"/>
  <c r="AA97" i="4"/>
  <c r="AW97" i="4" s="1"/>
  <c r="DL50" i="4"/>
  <c r="BR50" i="4"/>
  <c r="CN50" i="4" s="1"/>
  <c r="AB20" i="4"/>
  <c r="DJ121" i="4"/>
  <c r="BR121" i="4"/>
  <c r="CN121" i="4" s="1"/>
  <c r="BG144" i="4"/>
  <c r="BG146" i="4" s="1"/>
  <c r="DK70" i="4"/>
  <c r="AA70" i="4"/>
  <c r="AW70" i="4" s="1"/>
  <c r="DL47" i="4"/>
  <c r="BR47" i="4"/>
  <c r="CN47" i="4" s="1"/>
  <c r="DL114" i="4"/>
  <c r="DH145" i="4"/>
  <c r="AX113" i="4"/>
  <c r="DL10" i="4"/>
  <c r="BR10" i="4"/>
  <c r="CN10" i="4" s="1"/>
  <c r="BR5" i="4"/>
  <c r="CN5" i="4" s="1"/>
  <c r="DJ120" i="4"/>
  <c r="BR120" i="4"/>
  <c r="CN120" i="4" s="1"/>
  <c r="AA77" i="4"/>
  <c r="AW77" i="4" s="1"/>
  <c r="BR77" i="4"/>
  <c r="CN77" i="4" s="1"/>
  <c r="DJ77" i="4"/>
  <c r="AA98" i="4"/>
  <c r="AW98" i="4" s="1"/>
  <c r="BJ93" i="4"/>
  <c r="BE137" i="4"/>
  <c r="BE144" i="4" s="1"/>
  <c r="BE146" i="4" s="1"/>
  <c r="BE133" i="4"/>
  <c r="BE135" i="4" s="1"/>
  <c r="BE147" i="4" s="1"/>
  <c r="DL125" i="4"/>
  <c r="BR125" i="4"/>
  <c r="CN125" i="4" s="1"/>
  <c r="AV144" i="4"/>
  <c r="AV146" i="4" s="1"/>
  <c r="BL60" i="4"/>
  <c r="BV135" i="4"/>
  <c r="AA71" i="4"/>
  <c r="AW71" i="4" s="1"/>
  <c r="DK71" i="4"/>
  <c r="DJ58" i="4"/>
  <c r="AA58" i="4"/>
  <c r="AW58" i="4" s="1"/>
  <c r="DK118" i="4"/>
  <c r="AA118" i="4"/>
  <c r="AW118" i="4" s="1"/>
  <c r="BH137" i="4"/>
  <c r="BH144" i="4" s="1"/>
  <c r="BH146" i="4" s="1"/>
  <c r="BH133" i="4"/>
  <c r="BH135" i="4" s="1"/>
  <c r="BK133" i="4"/>
  <c r="BK135" i="4" s="1"/>
  <c r="DK22" i="4"/>
  <c r="AA22" i="4"/>
  <c r="AW22" i="4" s="1"/>
  <c r="BR58" i="4"/>
  <c r="CN58" i="4" s="1"/>
  <c r="DK126" i="4"/>
  <c r="AA126" i="4"/>
  <c r="AW126" i="4" s="1"/>
  <c r="CW137" i="4"/>
  <c r="CW144" i="4" s="1"/>
  <c r="CW146" i="4" s="1"/>
  <c r="CW133" i="4"/>
  <c r="BR132" i="4"/>
  <c r="CN132" i="4" s="1"/>
  <c r="DL132" i="4"/>
  <c r="BS145" i="4"/>
  <c r="DC145" i="4"/>
  <c r="BR66" i="4"/>
  <c r="CN66" i="4" s="1"/>
  <c r="Q144" i="4"/>
  <c r="Q146" i="4" s="1"/>
  <c r="DJ62" i="4"/>
  <c r="AA62" i="4"/>
  <c r="AW62" i="4" s="1"/>
  <c r="BQ133" i="4"/>
  <c r="CT140" i="4"/>
  <c r="BI142" i="4"/>
  <c r="BI144" i="4" s="1"/>
  <c r="BI146" i="4" s="1"/>
  <c r="DK40" i="4"/>
  <c r="AA40" i="4"/>
  <c r="AW40" i="4" s="1"/>
  <c r="I147" i="4"/>
  <c r="CO5" i="4"/>
  <c r="DL5" i="4" s="1"/>
  <c r="CQ20" i="4"/>
  <c r="AB60" i="4"/>
  <c r="AO135" i="4"/>
  <c r="AO147" i="4" s="1"/>
  <c r="CU135" i="4"/>
  <c r="BR75" i="4"/>
  <c r="CN75" i="4" s="1"/>
  <c r="CI147" i="4"/>
  <c r="BR104" i="4"/>
  <c r="CN104" i="4" s="1"/>
  <c r="AA23" i="4"/>
  <c r="AW23" i="4" s="1"/>
  <c r="DK23" i="4"/>
  <c r="AP147" i="4"/>
  <c r="BS113" i="4"/>
  <c r="BR95" i="4"/>
  <c r="CN95" i="4" s="1"/>
  <c r="BQ142" i="4"/>
  <c r="BQ93" i="4"/>
  <c r="DJ78" i="4"/>
  <c r="AA78" i="4"/>
  <c r="AW78" i="4" s="1"/>
  <c r="BR78" i="4"/>
  <c r="CN78" i="4" s="1"/>
  <c r="AX141" i="4"/>
  <c r="CT135" i="4"/>
  <c r="CQ140" i="4"/>
  <c r="CQ60" i="4"/>
  <c r="AX117" i="4"/>
  <c r="DK117" i="4" s="1"/>
  <c r="CM141" i="4"/>
  <c r="BS141" i="4" s="1"/>
  <c r="CM20" i="4"/>
  <c r="CM135" i="4" s="1"/>
  <c r="AA141" i="4"/>
  <c r="AW141" i="4" s="1"/>
  <c r="DK141" i="4"/>
  <c r="AZ113" i="4"/>
  <c r="AY113" i="4"/>
  <c r="AY135" i="4" s="1"/>
  <c r="BF144" i="4"/>
  <c r="BF146" i="4" s="1"/>
  <c r="BC142" i="4"/>
  <c r="BC93" i="4"/>
  <c r="BC135" i="4" s="1"/>
  <c r="DK41" i="4"/>
  <c r="AA41" i="4"/>
  <c r="AW41" i="4" s="1"/>
  <c r="DE140" i="4"/>
  <c r="DE144" i="4" s="1"/>
  <c r="DE146" i="4" s="1"/>
  <c r="DE60" i="4"/>
  <c r="DE135" i="4" s="1"/>
  <c r="DD144" i="4"/>
  <c r="G113" i="4"/>
  <c r="DJ113" i="4" s="1"/>
  <c r="AA31" i="4"/>
  <c r="AW31" i="4" s="1"/>
  <c r="DK31" i="4"/>
  <c r="AA120" i="4"/>
  <c r="AW120" i="4" s="1"/>
  <c r="AX66" i="4"/>
  <c r="DK66" i="4" s="1"/>
  <c r="G140" i="4"/>
  <c r="DJ140" i="4" s="1"/>
  <c r="BY135" i="4"/>
  <c r="BY147" i="4" s="1"/>
  <c r="AA13" i="4"/>
  <c r="AW13" i="4" s="1"/>
  <c r="DK13" i="4"/>
  <c r="DL4" i="4"/>
  <c r="AU147" i="4"/>
  <c r="CZ144" i="4"/>
  <c r="CZ146" i="4" s="1"/>
  <c r="BS143" i="4"/>
  <c r="Z144" i="4"/>
  <c r="Z146" i="4" s="1"/>
  <c r="BR126" i="4"/>
  <c r="CN126" i="4" s="1"/>
  <c r="CX144" i="4"/>
  <c r="CX146" i="4" s="1"/>
  <c r="BV144" i="4"/>
  <c r="BV146" i="4" s="1"/>
  <c r="BS137" i="4"/>
  <c r="BQ145" i="4"/>
  <c r="CF142" i="4"/>
  <c r="CF144" i="4" s="1"/>
  <c r="CF146" i="4" s="1"/>
  <c r="BR116" i="4"/>
  <c r="CN116" i="4" s="1"/>
  <c r="DL116" i="4"/>
  <c r="DL48" i="4"/>
  <c r="BR48" i="4"/>
  <c r="CN48" i="4" s="1"/>
  <c r="DL35" i="4"/>
  <c r="BR35" i="4"/>
  <c r="CN35" i="4" s="1"/>
  <c r="AX61" i="4"/>
  <c r="CW135" i="4"/>
  <c r="CW147" i="4" s="1"/>
  <c r="CV135" i="4"/>
  <c r="CV147" i="4" s="1"/>
  <c r="CO104" i="4"/>
  <c r="DL104" i="4" s="1"/>
  <c r="BR8" i="4"/>
  <c r="CN8" i="4" s="1"/>
  <c r="AB93" i="4"/>
  <c r="AA106" i="4"/>
  <c r="AW106" i="4" s="1"/>
  <c r="DK106" i="4"/>
  <c r="CQ141" i="4"/>
  <c r="AA73" i="4"/>
  <c r="AW73" i="4" s="1"/>
  <c r="DK52" i="4"/>
  <c r="AA52" i="4"/>
  <c r="AW52" i="4" s="1"/>
  <c r="AX9" i="4"/>
  <c r="DK9" i="4" s="1"/>
  <c r="DH142" i="4"/>
  <c r="DH93" i="4"/>
  <c r="CO21" i="4"/>
  <c r="AA84" i="4"/>
  <c r="AW84" i="4" s="1"/>
  <c r="DL26" i="4"/>
  <c r="BR26" i="4"/>
  <c r="CN26" i="4" s="1"/>
  <c r="BP135" i="4"/>
  <c r="BP147" i="4" s="1"/>
  <c r="G138" i="4"/>
  <c r="DJ138" i="4" s="1"/>
  <c r="DJ117" i="4"/>
  <c r="CO126" i="4"/>
  <c r="DL126" i="4" s="1"/>
  <c r="DJ37" i="4"/>
  <c r="AA37" i="4"/>
  <c r="AW37" i="4" s="1"/>
  <c r="AA29" i="4"/>
  <c r="AW29" i="4" s="1"/>
  <c r="AG147" i="4" l="1"/>
  <c r="AQ147" i="4"/>
  <c r="BQ144" i="4"/>
  <c r="BQ146" i="4" s="1"/>
  <c r="CS144" i="4"/>
  <c r="CS146" i="4" s="1"/>
  <c r="BL135" i="4"/>
  <c r="CO140" i="4"/>
  <c r="DC146" i="4"/>
  <c r="DC147" i="4" s="1"/>
  <c r="BL146" i="4"/>
  <c r="BL147" i="4" s="1"/>
  <c r="AX135" i="5"/>
  <c r="CO60" i="4"/>
  <c r="DG147" i="4"/>
  <c r="BC147" i="5"/>
  <c r="AX140" i="4"/>
  <c r="DK140" i="4" s="1"/>
  <c r="DB144" i="4"/>
  <c r="DB146" i="4" s="1"/>
  <c r="DB147" i="4" s="1"/>
  <c r="AX60" i="4"/>
  <c r="DK60" i="4" s="1"/>
  <c r="AX138" i="4"/>
  <c r="DK138" i="4" s="1"/>
  <c r="CT144" i="4"/>
  <c r="CT146" i="4" s="1"/>
  <c r="BB147" i="4"/>
  <c r="BH147" i="4"/>
  <c r="BJ135" i="4"/>
  <c r="BQ135" i="4"/>
  <c r="CH147" i="4"/>
  <c r="G146" i="5"/>
  <c r="CQ144" i="5"/>
  <c r="CQ146" i="5" s="1"/>
  <c r="CQ147" i="5" s="1"/>
  <c r="CO139" i="5"/>
  <c r="BR135" i="5"/>
  <c r="CN135" i="5" s="1"/>
  <c r="AX144" i="5"/>
  <c r="AX146" i="5" s="1"/>
  <c r="AX147" i="5" s="1"/>
  <c r="AB146" i="5"/>
  <c r="AA144" i="5"/>
  <c r="AW144" i="5" s="1"/>
  <c r="AB147" i="5"/>
  <c r="AA135" i="5"/>
  <c r="AW135" i="5" s="1"/>
  <c r="G147" i="5"/>
  <c r="CO20" i="5"/>
  <c r="AZ147" i="5"/>
  <c r="CS144" i="5"/>
  <c r="CS146" i="5" s="1"/>
  <c r="CS147" i="5" s="1"/>
  <c r="CO141" i="5"/>
  <c r="BR141" i="5"/>
  <c r="CN141" i="5" s="1"/>
  <c r="BS144" i="5"/>
  <c r="DH147" i="5"/>
  <c r="BR60" i="5"/>
  <c r="DK139" i="4"/>
  <c r="CO141" i="4"/>
  <c r="DL141" i="4" s="1"/>
  <c r="AV147" i="4"/>
  <c r="CO20" i="4"/>
  <c r="AX143" i="4"/>
  <c r="DK143" i="4" s="1"/>
  <c r="DH144" i="4"/>
  <c r="DH146" i="4" s="1"/>
  <c r="CY144" i="4"/>
  <c r="CY146" i="4" s="1"/>
  <c r="CY147" i="4" s="1"/>
  <c r="AY147" i="4"/>
  <c r="AY146" i="4"/>
  <c r="AX142" i="4"/>
  <c r="DK142" i="4" s="1"/>
  <c r="CQ144" i="4"/>
  <c r="CQ146" i="4" s="1"/>
  <c r="AZ135" i="4"/>
  <c r="DF147" i="4"/>
  <c r="CO113" i="4"/>
  <c r="DL113" i="4" s="1"/>
  <c r="CS135" i="4"/>
  <c r="CS147" i="4" s="1"/>
  <c r="BR141" i="4"/>
  <c r="CN141" i="4" s="1"/>
  <c r="CF147" i="4"/>
  <c r="AZ144" i="4"/>
  <c r="AZ146" i="4" s="1"/>
  <c r="AZ147" i="4" s="1"/>
  <c r="AX137" i="4"/>
  <c r="AA145" i="4"/>
  <c r="AW145" i="4" s="1"/>
  <c r="BR145" i="4"/>
  <c r="CN145" i="4" s="1"/>
  <c r="BS142" i="4"/>
  <c r="BS144" i="4" s="1"/>
  <c r="CO133" i="4"/>
  <c r="DL133" i="4" s="1"/>
  <c r="AX20" i="4"/>
  <c r="AA140" i="4"/>
  <c r="AW140" i="4" s="1"/>
  <c r="BJ147" i="4"/>
  <c r="BC144" i="4"/>
  <c r="BC146" i="4" s="1"/>
  <c r="BC147" i="4" s="1"/>
  <c r="BR138" i="4"/>
  <c r="CN138" i="4" s="1"/>
  <c r="BQ147" i="4"/>
  <c r="CQ135" i="4"/>
  <c r="AB135" i="4"/>
  <c r="AA20" i="4"/>
  <c r="AW20" i="4" s="1"/>
  <c r="G135" i="4"/>
  <c r="BK144" i="4"/>
  <c r="BK146" i="4" s="1"/>
  <c r="BK147" i="4" s="1"/>
  <c r="AX145" i="4"/>
  <c r="DK145" i="4" s="1"/>
  <c r="CN60" i="4"/>
  <c r="AA142" i="4"/>
  <c r="AW142" i="4" s="1"/>
  <c r="CM144" i="4"/>
  <c r="CM146" i="4" s="1"/>
  <c r="CM147" i="4" s="1"/>
  <c r="BO147" i="4"/>
  <c r="BF147" i="4"/>
  <c r="BG147" i="4"/>
  <c r="G144" i="4"/>
  <c r="DL21" i="4"/>
  <c r="BR65" i="4"/>
  <c r="CN65" i="4" s="1"/>
  <c r="DL65" i="4"/>
  <c r="BS93" i="4"/>
  <c r="BS135" i="4" s="1"/>
  <c r="BR139" i="4"/>
  <c r="CN139" i="4" s="1"/>
  <c r="AA60" i="4"/>
  <c r="AW60" i="4" s="1"/>
  <c r="DL60" i="4"/>
  <c r="BR60" i="4"/>
  <c r="DL20" i="4"/>
  <c r="BR143" i="4"/>
  <c r="CN143" i="4" s="1"/>
  <c r="DL143" i="4"/>
  <c r="BA147" i="4"/>
  <c r="AA139" i="4"/>
  <c r="AW139" i="4" s="1"/>
  <c r="AA93" i="4"/>
  <c r="AW93" i="4" s="1"/>
  <c r="AA138" i="4"/>
  <c r="AW138" i="4" s="1"/>
  <c r="DL95" i="4"/>
  <c r="BR137" i="4"/>
  <c r="CN137" i="4" s="1"/>
  <c r="DD146" i="4"/>
  <c r="DD147" i="4" s="1"/>
  <c r="BR113" i="4"/>
  <c r="CN113" i="4" s="1"/>
  <c r="CU147" i="4"/>
  <c r="BV147" i="4"/>
  <c r="CZ147" i="4"/>
  <c r="CO145" i="4"/>
  <c r="DL145" i="4" s="1"/>
  <c r="AA113" i="4"/>
  <c r="AW113" i="4" s="1"/>
  <c r="DK113" i="4"/>
  <c r="CO93" i="4"/>
  <c r="DL61" i="4"/>
  <c r="BR133" i="4"/>
  <c r="CN133" i="4" s="1"/>
  <c r="CX147" i="4"/>
  <c r="CP146" i="4"/>
  <c r="CP147" i="4" s="1"/>
  <c r="DH135" i="4"/>
  <c r="BM147" i="4"/>
  <c r="BI147" i="4"/>
  <c r="BR140" i="4"/>
  <c r="CN140" i="4" s="1"/>
  <c r="DL140" i="4"/>
  <c r="CT147" i="4"/>
  <c r="AB144" i="4"/>
  <c r="AA137" i="4"/>
  <c r="AW137" i="4" s="1"/>
  <c r="DA93" i="4"/>
  <c r="DA135" i="4" s="1"/>
  <c r="CO65" i="4"/>
  <c r="DA142" i="4"/>
  <c r="DA144" i="4" s="1"/>
  <c r="DA146" i="4" s="1"/>
  <c r="AX93" i="4"/>
  <c r="DK93" i="4" s="1"/>
  <c r="DK61" i="4"/>
  <c r="CO138" i="4"/>
  <c r="DL138" i="4" s="1"/>
  <c r="DE147" i="4"/>
  <c r="AA133" i="4"/>
  <c r="AW133" i="4" s="1"/>
  <c r="AX133" i="4"/>
  <c r="DK133" i="4" s="1"/>
  <c r="DK114" i="4"/>
  <c r="CO137" i="4"/>
  <c r="DL137" i="4" s="1"/>
  <c r="DH147" i="4" l="1"/>
  <c r="CO144" i="5"/>
  <c r="CO146" i="5" s="1"/>
  <c r="BS146" i="5"/>
  <c r="BR144" i="5"/>
  <c r="CN144" i="5" s="1"/>
  <c r="CO135" i="5"/>
  <c r="AB154" i="5"/>
  <c r="AB149" i="5"/>
  <c r="AA146" i="5"/>
  <c r="AW146" i="5" s="1"/>
  <c r="CO135" i="4"/>
  <c r="DL135" i="4" s="1"/>
  <c r="AX144" i="4"/>
  <c r="AX146" i="4" s="1"/>
  <c r="AX135" i="4"/>
  <c r="CQ147" i="4"/>
  <c r="BR135" i="4"/>
  <c r="CN135" i="4" s="1"/>
  <c r="AA144" i="4"/>
  <c r="AW144" i="4" s="1"/>
  <c r="AB146" i="4"/>
  <c r="BR142" i="4"/>
  <c r="CN142" i="4" s="1"/>
  <c r="DJ144" i="4"/>
  <c r="G146" i="4"/>
  <c r="DJ146" i="4" s="1"/>
  <c r="CO142" i="4"/>
  <c r="CO144" i="4" s="1"/>
  <c r="DK137" i="4"/>
  <c r="BS146" i="4"/>
  <c r="BR144" i="4"/>
  <c r="CN144" i="4" s="1"/>
  <c r="DJ135" i="4"/>
  <c r="DK20" i="4"/>
  <c r="DA147" i="4"/>
  <c r="DL93" i="4"/>
  <c r="BR93" i="4"/>
  <c r="CN93" i="4" s="1"/>
  <c r="AA135" i="4"/>
  <c r="AW135" i="4" s="1"/>
  <c r="DL142" i="4" l="1"/>
  <c r="CO147" i="5"/>
  <c r="BS149" i="5"/>
  <c r="BR146" i="5"/>
  <c r="CN146" i="5" s="1"/>
  <c r="BS147" i="5"/>
  <c r="AX147" i="4"/>
  <c r="DK135" i="4"/>
  <c r="DK144" i="4"/>
  <c r="CO146" i="4"/>
  <c r="CO147" i="4" s="1"/>
  <c r="DL144" i="4"/>
  <c r="BR146" i="4"/>
  <c r="CN146" i="4" s="1"/>
  <c r="AB149" i="4"/>
  <c r="AA146" i="4"/>
  <c r="AW146" i="4" s="1"/>
  <c r="DK146" i="4"/>
  <c r="AB154" i="4"/>
  <c r="AB147" i="4"/>
  <c r="G147" i="4"/>
  <c r="BS147" i="4"/>
  <c r="DL146" i="4" l="1"/>
  <c r="BS149" i="4"/>
</calcChain>
</file>

<file path=xl/sharedStrings.xml><?xml version="1.0" encoding="utf-8"?>
<sst xmlns="http://schemas.openxmlformats.org/spreadsheetml/2006/main" count="1736" uniqueCount="416">
  <si>
    <t>PLAN DE ACCION 2016</t>
  </si>
  <si>
    <t>FUENTES DE FINANCIACION</t>
  </si>
  <si>
    <t>CDP</t>
  </si>
  <si>
    <t>SALDOS POR FUENTES DE FINANCIACIÓN</t>
  </si>
  <si>
    <r>
      <t xml:space="preserve">EJECUCIÓN  EN RP POR FUENTES DE FINANCIACIÓN </t>
    </r>
    <r>
      <rPr>
        <b/>
        <sz val="13.5"/>
        <color rgb="FFFF0000"/>
        <rFont val="Calibri"/>
        <family val="2"/>
        <scheme val="minor"/>
      </rPr>
      <t>(OBLIGACIONES CONTRAÍDAS)</t>
    </r>
  </si>
  <si>
    <t>SUBSISTEMA</t>
  </si>
  <si>
    <t>PROYECTO</t>
  </si>
  <si>
    <t>SIGLA</t>
  </si>
  <si>
    <t>ACCIONES</t>
  </si>
  <si>
    <t>RUBRO</t>
  </si>
  <si>
    <t>RESPONSABLE</t>
  </si>
  <si>
    <t>RECURSOS ASIGNADOS</t>
  </si>
  <si>
    <t xml:space="preserve">RECURSOS EJECUTADOS </t>
  </si>
  <si>
    <t>RECURSOS POR EJECUTAR</t>
  </si>
  <si>
    <t>RECURSOS EJECUTADOS</t>
  </si>
  <si>
    <t>TOTAL</t>
  </si>
  <si>
    <t>ESTAMPILLA UNIVERSIDAD LEY 1697/13</t>
  </si>
  <si>
    <t>R. NACION     CREE</t>
  </si>
  <si>
    <t>R.PROPIOS RENDIMIENTOS CREE</t>
  </si>
  <si>
    <t>NACIÓN</t>
  </si>
  <si>
    <t>APORTE DPTO. LEY 30 DEL 92</t>
  </si>
  <si>
    <t>EST.DPTO.</t>
  </si>
  <si>
    <t>EST.  NEIVA</t>
  </si>
  <si>
    <t>EST. GARZÓN</t>
  </si>
  <si>
    <t>EST. LA PLATA</t>
  </si>
  <si>
    <t>EST.PITALITO</t>
  </si>
  <si>
    <t>CONVENIOS</t>
  </si>
  <si>
    <t>IVA</t>
  </si>
  <si>
    <t>RECURSOS PROPIOS</t>
  </si>
  <si>
    <t xml:space="preserve">EXCEDENTES  USCO </t>
  </si>
  <si>
    <t>FTO. BTAR.</t>
  </si>
  <si>
    <t>RECURSOS DOCTORADOS</t>
  </si>
  <si>
    <t>SISTEMA GENERAL DE REGALIAS</t>
  </si>
  <si>
    <t>CANCELACION RESERVAS 2014 CREE Y DPTO.</t>
  </si>
  <si>
    <t>EXCED. FAC.</t>
  </si>
  <si>
    <t>%</t>
  </si>
  <si>
    <t>R.NACION FOMENTO</t>
  </si>
  <si>
    <t>R. NACION CREE</t>
  </si>
  <si>
    <t>EST. PITALITO</t>
  </si>
  <si>
    <t>FORMACION</t>
  </si>
  <si>
    <t>SF-PY1. Identidad con la Teleología Institucional.</t>
  </si>
  <si>
    <t>SF-PY1.1</t>
  </si>
  <si>
    <t>Actividades de Inducción y Reinducción con docentes, estudiantes y Administrativos para promover el conocimiento de la Teleología.</t>
  </si>
  <si>
    <t>V.ACADEMICA</t>
  </si>
  <si>
    <t>SF-PY1.2</t>
  </si>
  <si>
    <t>Actividades para promover la Apropiación de la teleología Institucional. (Misión, La Visión, el Proyecto Educativo Institucional PEU).</t>
  </si>
  <si>
    <t>V.ACADEMICA
FACECO
F.C. SOCIALES
F. C. EXACTAS</t>
  </si>
  <si>
    <t>SF-PY1.3</t>
  </si>
  <si>
    <t>Promoción de la imagen corporativa institucional, portafolio de servicios-oferta académica.</t>
  </si>
  <si>
    <t>SF-PY2. Creación de nueva Oferta Académica en las Sedes.</t>
  </si>
  <si>
    <t>SF-PY2.1</t>
  </si>
  <si>
    <t>Continuidad Proceso de Formulación Oferta Académica.</t>
  </si>
  <si>
    <t xml:space="preserve">
V.ACADEMICA
F.SALUD
F.EDUCACION
F.C.J.P.
</t>
  </si>
  <si>
    <t>SF-PY3. Desarrollo Profesoral Permanente en lo Pedagógico, Disciplinar y Profesional.</t>
  </si>
  <si>
    <t>SF-PY3.1</t>
  </si>
  <si>
    <t xml:space="preserve"> Escuela de Formación Pedagógica
(formación y acompañamiento en  Pedagogía, alcance y materialización del PEU y  labor de consejerías).</t>
  </si>
  <si>
    <t>SF-PY3.2</t>
  </si>
  <si>
    <t>Capacitación Individual Docente.</t>
  </si>
  <si>
    <t>V.ACADEMICA
FACECO
F.EDUCACION
F.INGENIERIA
F.C. EXACTAS</t>
  </si>
  <si>
    <t>SF-PY3.3</t>
  </si>
  <si>
    <t xml:space="preserve"> Interlingua para Docentes.</t>
  </si>
  <si>
    <t>SF-PY3.4</t>
  </si>
  <si>
    <t>Oferta de Cursos Intersemestrales sobre áreas de conocimiento y culturas latinoaméricanas,  formación para la democracia.</t>
  </si>
  <si>
    <t>SF-PY3.5</t>
  </si>
  <si>
    <t>Estudio de Factibilidad Proyecto Inmersión Total en Casa.</t>
  </si>
  <si>
    <t>SF-PY4.  Autoevalución y Acreditación de Programas Académicos de Pregrado y Postgrado.</t>
  </si>
  <si>
    <t>SF-PY4.1</t>
  </si>
  <si>
    <t>Apoyo a los procesos de autoevaluación en cada programa; Talleres de Analisis de información de producción de juicios de valor; Talleres de socialización de resultados; conocimientos de referencias; asesorias de pares colaborativos; reproducción de material.</t>
  </si>
  <si>
    <t>V.ACADEMICA
F.C.J.P.
F.EDUCACION
FACECO
F.C.EXACTAS</t>
  </si>
  <si>
    <t>SF-PY5.  Acreditación de Alta Calidad de la Universidad.</t>
  </si>
  <si>
    <t>SF-PY5.1</t>
  </si>
  <si>
    <t>Funcionamiento de la Unidad de Apoyo a los Procesos de Autoevaluación  y Acreditación Institucional  y de Programas -UNAPAAC.</t>
  </si>
  <si>
    <t>SF-PY5.2</t>
  </si>
  <si>
    <t>Procesos de Autoevaluación y Acreditación Institucional; Capacitaciones  y encuentros para apoyo con Universidades del país.</t>
  </si>
  <si>
    <t>SF-PY5.3</t>
  </si>
  <si>
    <t>Creación de material educativo en formato digital.</t>
  </si>
  <si>
    <t>FACECO</t>
  </si>
  <si>
    <t>SF-PY6. Relevo Generacional con Excelencia Académica.</t>
  </si>
  <si>
    <t>SF-PY6.1</t>
  </si>
  <si>
    <t>Convocatoria Banco Docentes Ocasionales 2017.</t>
  </si>
  <si>
    <t>SF-PY7. Fortalecimiento de los Vínculos Universidad - Egresados.</t>
  </si>
  <si>
    <t>SF-PY7.1</t>
  </si>
  <si>
    <t>El sistema de información para el seguimiento de graduados y el portal laboral.</t>
  </si>
  <si>
    <t>SF-PY7.2</t>
  </si>
  <si>
    <t>Programa de Seguimiento a Graduados.</t>
  </si>
  <si>
    <t>V.ACADEMICA
F. EDUCACIÓN</t>
  </si>
  <si>
    <t>TOTAL SUBSISTEMA DE FORMACION</t>
  </si>
  <si>
    <t>INVESTIGACION</t>
  </si>
  <si>
    <t>SI-PY1.  Fortalecimiento de las capacidades de investigación, desarrollo e innovación.</t>
  </si>
  <si>
    <t>SI-PY1.1</t>
  </si>
  <si>
    <t>Adquisición  de equipos de laboratorio para investigación.</t>
  </si>
  <si>
    <t>VIPS</t>
  </si>
  <si>
    <t>SI-PY1.2</t>
  </si>
  <si>
    <t>Adquisición y renovación de  licencias software especializados  para divulgaciòn de actividades producto de investigaciòn.</t>
  </si>
  <si>
    <t>SI-PY1.3</t>
  </si>
  <si>
    <t>Apoyo a la formación de alto nivel (Maestrias, doctorados, posdoctorados).</t>
  </si>
  <si>
    <t>SI-PY1.4</t>
  </si>
  <si>
    <t>Fortalecimiento de las capacidades investigativas para la acreditación Institucional</t>
  </si>
  <si>
    <t>SI-PY1.5</t>
  </si>
  <si>
    <t>Fortalecimiento  de las capacidades investigativas de grupos de investigación en modalidad Proyectos.</t>
  </si>
  <si>
    <t>SI-PY2.  Calidad Académica y formación en Investigación.</t>
  </si>
  <si>
    <t>SI-PY2.1</t>
  </si>
  <si>
    <t>Formulación y ejecución de dos talleres para reformular dos currículos.</t>
  </si>
  <si>
    <t>SI-PY2.2</t>
  </si>
  <si>
    <t>Taller con experto en Gestión  y apropiación social del conocimiento.</t>
  </si>
  <si>
    <t xml:space="preserve">VIPS </t>
  </si>
  <si>
    <t>SI-PY2.3</t>
  </si>
  <si>
    <t>Acciones  de sensibilización sobre propuestas de investigación en el marco del programa ONDAS.</t>
  </si>
  <si>
    <t>SI-PY2.4</t>
  </si>
  <si>
    <t>Apoyo al desarrollo de los proyectos formulados por los grupos, en el marco del convenio ONDAS.</t>
  </si>
  <si>
    <t>SI-PY2.5</t>
  </si>
  <si>
    <t>Apoyo a la formulación, ejecución y divulgación de eventos académicos.</t>
  </si>
  <si>
    <t>VIPS 
FCJP</t>
  </si>
  <si>
    <t>SI-PY2.6</t>
  </si>
  <si>
    <t>Apoyo a docentes para  realizar ponencias en eventos nacionales e internacionales.</t>
  </si>
  <si>
    <t>SI-PY2.7</t>
  </si>
  <si>
    <t>Consolidación de grupos de Investigación.</t>
  </si>
  <si>
    <t>SI-PY2.8</t>
  </si>
  <si>
    <t>Capacitación y participación de la Facultad de Ciencias Jurídcas y Políticas en eventos de formación.</t>
  </si>
  <si>
    <t>FCJP</t>
  </si>
  <si>
    <t>SI-PY2.9</t>
  </si>
  <si>
    <t>Apoyo al desarrollo de los Doctorados: Agroindustria y Desarrollo Agricola Sostenible y  Educación y Cultura Ambiental.</t>
  </si>
  <si>
    <t xml:space="preserve">VIPS Y  COORDINADORES </t>
  </si>
  <si>
    <t>SI-PY3. Calidad Académica y formación a través de la Investigación</t>
  </si>
  <si>
    <t>SI-PY3.1</t>
  </si>
  <si>
    <t>Financiación de proyectos de investigación en modalidad trabajos de grado.</t>
  </si>
  <si>
    <t>SI-PY3.2</t>
  </si>
  <si>
    <t>Financiación de proyectos ejecutados por semilleros de investigación.</t>
  </si>
  <si>
    <t>VIPS
F.C.EXACTAS</t>
  </si>
  <si>
    <t>SI-PY3.3</t>
  </si>
  <si>
    <t xml:space="preserve">Cofinanciación cinco jóvenes investigadores Colciencias </t>
  </si>
  <si>
    <t>SI-PY3.4</t>
  </si>
  <si>
    <t>Financiar la vinculación de  jóvenes investigadores.</t>
  </si>
  <si>
    <t>SI-PY4.  Calidad Académica y ejecución de Investigación.</t>
  </si>
  <si>
    <t>SI-PY4.1</t>
  </si>
  <si>
    <t>Financiar proyectos de investigación de convocatorias internas  y externas.</t>
  </si>
  <si>
    <t>SI-PY4.2</t>
  </si>
  <si>
    <t>Apoyo para la consolidación de grupos de investigación.</t>
  </si>
  <si>
    <t>VIPS
F. EDUCACIÓN
F.INGENIERIA</t>
  </si>
  <si>
    <t>SI-PY4.3</t>
  </si>
  <si>
    <t>Formulación de productos resultado de investigación (patentes, prototipos, variedades vegetales o animales).</t>
  </si>
  <si>
    <t>SI-PY4.4</t>
  </si>
  <si>
    <t>Apoyo para los proyectos formulados por estudiantes y egresados de las facultades.</t>
  </si>
  <si>
    <t>SI-PY5. Calidad Académica y gestión de Investigación.</t>
  </si>
  <si>
    <t>SI-PY5.1</t>
  </si>
  <si>
    <t>Convenios cofinanciados.</t>
  </si>
  <si>
    <t>SI-PY5.2</t>
  </si>
  <si>
    <t>Gestión de proyectos de investigación en cooperación  regional nacioanal y/o internacional.</t>
  </si>
  <si>
    <t>SI-PY5.3</t>
  </si>
  <si>
    <t>Divulgación del conocimiento.</t>
  </si>
  <si>
    <t>SI-PY6.  Articulación del Sistema Integrado de Información (TICS).</t>
  </si>
  <si>
    <t>SI-PY6.1</t>
  </si>
  <si>
    <t>Diseño de aplicativos digitales para divulgación investigación.</t>
  </si>
  <si>
    <t>SI-PY6.2</t>
  </si>
  <si>
    <t>Elaboración y publicación del catálogo y portafolio de productos  Editorial Universidad Surcolombiana.</t>
  </si>
  <si>
    <t>SI-PY6.3</t>
  </si>
  <si>
    <t xml:space="preserve">Adquisión gestores bibliográficos. </t>
  </si>
  <si>
    <t>SI-PY6.4</t>
  </si>
  <si>
    <t>Apoyo para la gestión de la investigación  a traves de membresias (ASEUC, EULAC, ABEC, DOI).</t>
  </si>
  <si>
    <t>SI-PY7.  Evaluación, dotación y consolidación de los Centros de Documentación, archivística y bases de datos.</t>
  </si>
  <si>
    <t>SI-PY7.1</t>
  </si>
  <si>
    <t>Adquisión  base datos especializadas para investigación.</t>
  </si>
  <si>
    <t>SI-PY7.2</t>
  </si>
  <si>
    <t>Apoyo a centro de documentación archivistica.</t>
  </si>
  <si>
    <t>SI-PY8.  Creación y Fortalecimiento de Centros, Institutos de investigación, desarrollo y vigilancia Tecnológica e Innovación.</t>
  </si>
  <si>
    <t>SI-PY8.1</t>
  </si>
  <si>
    <t>Apoyo a la creación y fortalecimiento de centros de investigación y vigilancia tecnológica e innovación.</t>
  </si>
  <si>
    <t>SI-PY8.2</t>
  </si>
  <si>
    <t>SI-PY9.  Articulación y fortalecimiento de las publicaciones Científicas  y Académicas.</t>
  </si>
  <si>
    <t>SI-PY9.1</t>
  </si>
  <si>
    <t xml:space="preserve">Evaluación de artículos, corrección de estilo, diseño, diagramación, impresión y publicación de revistas institucionales. </t>
  </si>
  <si>
    <t>VIPS
FACECO
FCJP
F.INGENIERIA</t>
  </si>
  <si>
    <t>SI-PY9.2</t>
  </si>
  <si>
    <t xml:space="preserve">Capacitación a editores de revistas científicas;.  Taller escritura de artìculos cientìficos. </t>
  </si>
  <si>
    <t>SI-PY9.3</t>
  </si>
  <si>
    <t xml:space="preserve">Evaluación, corrección estilo, diagramación  y publicación de libros en las diferentes modalidades.   </t>
  </si>
  <si>
    <t>SI-PY9.4</t>
  </si>
  <si>
    <t>Gestión para la indexación de revistas institucionales.</t>
  </si>
  <si>
    <t>SI-PY9.5</t>
  </si>
  <si>
    <t>Apoyo a la consolidación de la editorial Surcolombiana y revistas institucionales.</t>
  </si>
  <si>
    <t>SI-PY9.6</t>
  </si>
  <si>
    <t>Fortalecimiento, consolidación y mejoramiento de la calidad editorial de la Revista Jurídica Piélagus.</t>
  </si>
  <si>
    <t>TOTAL SUBSISTEMA: DE INVESTIGACIÓN</t>
  </si>
  <si>
    <t>PROYECCION SOCIAL</t>
  </si>
  <si>
    <t>SP-PY1.  Internacionalización Académica Curricular y Administrativa.</t>
  </si>
  <si>
    <t>SP-PY1.1</t>
  </si>
  <si>
    <t>Apoyo a la movilidad académica de docentes, estudiantes y personal administrativo y expertos invitados.</t>
  </si>
  <si>
    <t>FACECO
F. SALUD
F. EDUCACIÓN
FCJP</t>
  </si>
  <si>
    <t>SP-PY1.2</t>
  </si>
  <si>
    <t>Apoyo a la internacionalización de la investigación y la proyección social.</t>
  </si>
  <si>
    <t>F. SALUD</t>
  </si>
  <si>
    <t>SP-PY1.3</t>
  </si>
  <si>
    <t>Apoyo a los procesos y fortalecimiento de alianzas académico-administrativas entre la Universidad y organismos Públicos.</t>
  </si>
  <si>
    <t>SP-PY2.  Regionalización de la USCO</t>
  </si>
  <si>
    <t>SP-PY2.1</t>
  </si>
  <si>
    <t>Apoyo y gestión en acciones, proyectos y eventos para regionalización.</t>
  </si>
  <si>
    <t>SP-PY3. Reformulación y fortalecimiento de las modalidades y formas de Proyección Social.</t>
  </si>
  <si>
    <t>SP-PY3.1</t>
  </si>
  <si>
    <t>Macroproyectos de Proyección social cofinanciados por la Universidad Surcolombiana.</t>
  </si>
  <si>
    <t>SP-PY3.2</t>
  </si>
  <si>
    <t>Proyectos solidarios de menor cuantía cofinanciados  por la Universidad Surcolombiana.</t>
  </si>
  <si>
    <t>SP-PY3.3</t>
  </si>
  <si>
    <t>Apoyo logístico a proyectos  de Responsabilidad Social Universitaria.</t>
  </si>
  <si>
    <t>F. EDUCACIÓN
F.INGENIERIA</t>
  </si>
  <si>
    <t>SP-PY3.4</t>
  </si>
  <si>
    <t>Apoyos a la realización y participación en  eventos de proyección social.</t>
  </si>
  <si>
    <t>F. EDUCACIÓN</t>
  </si>
  <si>
    <t>SP-PY3.5</t>
  </si>
  <si>
    <t>Apoyos financieros a la suscripción de convenios interinstitucionales.</t>
  </si>
  <si>
    <t>SP-PY3.6</t>
  </si>
  <si>
    <t>Apoyo a la gestión academico-administrativa de la Proyección Social.</t>
  </si>
  <si>
    <t>F. SALUD
FACECO
F. EDUCACIÓN
FCJP
F.INGENIERIA
F.C.S.H</t>
  </si>
  <si>
    <t>SP-PY3.7</t>
  </si>
  <si>
    <t>Apoyos cursos de formación continuada a egresados de las sedes Neiva, Garzón, Pitalito y la Plata.</t>
  </si>
  <si>
    <t>SP-PY3.8</t>
  </si>
  <si>
    <t>Apoyo anual para el fortalecimiento y consolidación del Programa de Gestión Tecnológica.</t>
  </si>
  <si>
    <t>SP-PY4.  Estructuración y desarrollo Unidades de Atención Especializada y de Emprendimiento e Innovación Institucional.</t>
  </si>
  <si>
    <t>SP-PY4.1</t>
  </si>
  <si>
    <t>Apoyo al Funcionamiento de la Unidad de Servicio de  Atención Psicológica (USAP).</t>
  </si>
  <si>
    <t>SP-PY4.2</t>
  </si>
  <si>
    <t>Implementación y operacionalización de la Unidad de Emprendimiento e Innovación.</t>
  </si>
  <si>
    <t>SP-PY4.3</t>
  </si>
  <si>
    <t>Modernización de la Innovación y/o emprendimiento en el Plan de Estudios.</t>
  </si>
  <si>
    <t>SP-PY4.4</t>
  </si>
  <si>
    <t>Dotación, compra de material P.O.P, Didactico y Bibliografico de la Unidad de Emprendimiento.</t>
  </si>
  <si>
    <t>SP-PY4.5</t>
  </si>
  <si>
    <t>Apoyo en la gestión de proyectos de emprendimiento e innovación.</t>
  </si>
  <si>
    <t>SP-PY4.6</t>
  </si>
  <si>
    <t xml:space="preserve">Selección y formalización del equipo de trabajo.  </t>
  </si>
  <si>
    <t>SP-PY4.7</t>
  </si>
  <si>
    <t>Movilidad Visitas Institucionales, Nacionales e Internacionales.</t>
  </si>
  <si>
    <t>SP-PY5.  Consolidación de la Alianza Estratégica Estado-Universidad-Empresa-Ciudadanía.</t>
  </si>
  <si>
    <t>SP-PY5.1</t>
  </si>
  <si>
    <t>Proyectos Universidad-Empresa-Estado-Sociedad, financiados y cofinanciados por la Universidad Surcolombiana.</t>
  </si>
  <si>
    <t>SP-PY5.2</t>
  </si>
  <si>
    <t>Apoyo a la cofinanciación de proyectos de la Alianza Universidad-Empresa-Estado-Sociedad.</t>
  </si>
  <si>
    <t>SP-PY6. Estructuración y Desarrollo de la Agenda Social Regional.</t>
  </si>
  <si>
    <t>SP-PY6.1</t>
  </si>
  <si>
    <t>Un documento de acuerdo y compromiso de actores sociales con propuestas de políticas públicas del departamento del Huila.</t>
  </si>
  <si>
    <t>SP-PY6.2</t>
  </si>
  <si>
    <t>Creación y puesta en funcionamiento del Observatorio Regional de Políticas Públicas.</t>
  </si>
  <si>
    <t>SP-PY6.3</t>
  </si>
  <si>
    <t>Creación y puesta en funcionamiento del Instituto de Estudios Surcolombianos.</t>
  </si>
  <si>
    <t>SP-PY6.4</t>
  </si>
  <si>
    <t>Apoyo a la gestión de proyectos de agenda social.</t>
  </si>
  <si>
    <t>SP-PY7.  Articulación de la Educación Superior con la Educación formal, el trabajo y el desarrollo humano.</t>
  </si>
  <si>
    <t>SP-PY7.1</t>
  </si>
  <si>
    <t>Apoyo a los procesos de integración de la Educación Superior con la Educación Media, el trabajo y el desarrollo humano.</t>
  </si>
  <si>
    <t>SP-PY7.2</t>
  </si>
  <si>
    <t>Programas de formación para el trabajo y el desarrollo humano con procesos de interacción de la Educación Superior con la Educación Media.</t>
  </si>
  <si>
    <t>SP-PY8. Fortalecimiento del sistema de comunicación e información institucional.</t>
  </si>
  <si>
    <t>SP-PY8.1</t>
  </si>
  <si>
    <t>Elaboracion y puesta en marcha del  Plan estratégico de comunicaciones.</t>
  </si>
  <si>
    <t>SP-PY8.2</t>
  </si>
  <si>
    <t>Manual de identidad de imagen de la USCO.</t>
  </si>
  <si>
    <t>SP-PY8.3</t>
  </si>
  <si>
    <t>Renovación Hosting y  elaboración de revista para comunicaciones y divulgación de actividades resultado de proyección social.</t>
  </si>
  <si>
    <t>SP-PY8.4</t>
  </si>
  <si>
    <t>Fortalecimiento de medios audiovisuales institucionales.</t>
  </si>
  <si>
    <t>SP-PY8.5</t>
  </si>
  <si>
    <t>Elaboración de prospectos, revistas e instructivos-publicidad.</t>
  </si>
  <si>
    <t>F. SALUD
F. EDUCACIÓN
F.INGENIERIA
F.C. EXACTAS
F.C.J.P.</t>
  </si>
  <si>
    <t>TOTAL SUBSISTEMA DE PROYECCION SOCIAL</t>
  </si>
  <si>
    <t>BIENESTAR UNIVERSITARIO</t>
  </si>
  <si>
    <t>SB-PY1.   Universidad Saludable.</t>
  </si>
  <si>
    <t>SB-PY1.1</t>
  </si>
  <si>
    <t>Prestación servicio médico a estudiantes en las Sedes</t>
  </si>
  <si>
    <t>G.I.BIENESTAR</t>
  </si>
  <si>
    <t>SB-PY1.2</t>
  </si>
  <si>
    <t>Prestación servicio odontólogico a estudiantes en las Sedes</t>
  </si>
  <si>
    <t>SB-PY1.3</t>
  </si>
  <si>
    <t>Prestación servicio Psicológico a estudiantes en las Sedes</t>
  </si>
  <si>
    <t>SB-PY1.4</t>
  </si>
  <si>
    <t>Apoyo a actividades de clima organizacional, docentes, estudiantes y administrativos en las Sedes</t>
  </si>
  <si>
    <t>F.EDUCACIÓN
F.INGENIERIA</t>
  </si>
  <si>
    <t>SB-PY1.5</t>
  </si>
  <si>
    <t>Atención apersonas en drogadicción, prostitución y E.T.V.  en las Sedes</t>
  </si>
  <si>
    <t>SB-PY1.6</t>
  </si>
  <si>
    <t>USCO saludable.</t>
  </si>
  <si>
    <t>SB-PY1.7</t>
  </si>
  <si>
    <t>Estudio y prefactibilidad IPS Universitaria.</t>
  </si>
  <si>
    <t>GPIE</t>
  </si>
  <si>
    <t>SB-PY1.8</t>
  </si>
  <si>
    <t>Proyecto de Inclusión y atención de la población con diversidad funcional en la USCO.</t>
  </si>
  <si>
    <t>SB-PY2.  Recreación y Deportes con responsabilidad y compromiso.</t>
  </si>
  <si>
    <t>SB-PY2.1</t>
  </si>
  <si>
    <t>Actividades deportivas de todas las Sedes.</t>
  </si>
  <si>
    <t>G.I.BIENESTAR
F.INGENIERIA</t>
  </si>
  <si>
    <t>SB-PY3. Cultura con responsabilidad y compromiso.</t>
  </si>
  <si>
    <t>SB-PY3.1</t>
  </si>
  <si>
    <t>Actividades Culturales de todas las Sedes.</t>
  </si>
  <si>
    <t>F.SALUD
FACECO
G.I.BIENESTAR
F.INGENIERIA</t>
  </si>
  <si>
    <t>SB-PY4. Desarrollo Humano con responsabilidad y compromiso.</t>
  </si>
  <si>
    <t>SB-PY4.1</t>
  </si>
  <si>
    <t>Eventos de clima organizacional y convivencia.(Eventos)</t>
  </si>
  <si>
    <t>FACECO
G.I.BIENESTAR
F.C. EXACTAS</t>
  </si>
  <si>
    <t>SB-PY5.  Desarrollo Socio-Económico con responsabilidad y compromiso.</t>
  </si>
  <si>
    <t>SB-PY5.1</t>
  </si>
  <si>
    <t>Prestación de servicio de restaurante a los estudiantes en las Sedes.</t>
  </si>
  <si>
    <t>SB-PY5.2</t>
  </si>
  <si>
    <t>Atención a población estudiantil en situación de extrema vulnerabilidad en las Sedes.</t>
  </si>
  <si>
    <t>SB-PY5.3</t>
  </si>
  <si>
    <t>Vinculación de estudiantes en procesos institucionales.</t>
  </si>
  <si>
    <t>SB-PY6.  Promoción de la Permanencia y Graduación estudiantil en la Usco.</t>
  </si>
  <si>
    <t>SB-PY6.1</t>
  </si>
  <si>
    <t>Permanencia y graduación estudiantil.</t>
  </si>
  <si>
    <t>SB-PY6.2</t>
  </si>
  <si>
    <t>Semestre Cero</t>
  </si>
  <si>
    <t>VIC. ACADEMICA</t>
  </si>
  <si>
    <t>SB-PY6.3</t>
  </si>
  <si>
    <t>Consejerías Académicas</t>
  </si>
  <si>
    <t>SB-PY6.4</t>
  </si>
  <si>
    <t>Formación para el fortalecimiento de las competencias genéricas (Saber Pro).</t>
  </si>
  <si>
    <t>TOTAL SUBSISTEMA BIENESTAR UNIVERSITARIO</t>
  </si>
  <si>
    <t>ADMINISTRATIVO</t>
  </si>
  <si>
    <t>SA-PY2.a  Construcción y mantenimiento de las Sedes.</t>
  </si>
  <si>
    <t>SA-PY2a.1</t>
  </si>
  <si>
    <t>Construcción de infraestructura física en todas las Sedes.</t>
  </si>
  <si>
    <t>VIC.ADTIVA.
F.SALUD
F.CJP
F.INGENIERIA</t>
  </si>
  <si>
    <t>SA-PY2a.2</t>
  </si>
  <si>
    <t>Adecuaciones, mantenimientos y mejoras en infraestructura de todas las sedes.</t>
  </si>
  <si>
    <t>VIC.ADTIVA.
F.INGENIERIA
F.C.J.P.</t>
  </si>
  <si>
    <t>SA-PY2a.3</t>
  </si>
  <si>
    <t>Avalúos, estudios y diseños de obras civiles varias.</t>
  </si>
  <si>
    <t>VIC.ADTIVA.</t>
  </si>
  <si>
    <t>SA-PY2.b  Desarrollo, dotación y Mantenimiento de las Sedes.</t>
  </si>
  <si>
    <t>SA-PY2b.1</t>
  </si>
  <si>
    <t>Dotación de equipos, accesorios, reactivos e insumos para  laboratorios de todas las Sedes.</t>
  </si>
  <si>
    <t>VIC.ADTIVA.
F.INGENIERIA</t>
  </si>
  <si>
    <t>SA-PY2b.2</t>
  </si>
  <si>
    <t>Mantenimiento de Equipos de Laboratorio,  Muebles, accesorios y equipos de Oficina de todas las sedes.</t>
  </si>
  <si>
    <t>SA-PY2b.3</t>
  </si>
  <si>
    <t>Dotación de aulas y salas de informatica de todas las sedes.</t>
  </si>
  <si>
    <t>VIC.ADTIVA.
FCJP</t>
  </si>
  <si>
    <t>SA-PY2b.4</t>
  </si>
  <si>
    <t>Dotación de muebles y equipos de oficinas para todas las sedes.</t>
  </si>
  <si>
    <t>VIC.ADTIVA.
F.EDUCACION
F.SALUD
FACECO
FCJP
F.INGENIERIA
F. C. EXACTAS</t>
  </si>
  <si>
    <t>SA-PY2b.5</t>
  </si>
  <si>
    <t>Adquisición bibliografía.</t>
  </si>
  <si>
    <t>SA-PY2b.6</t>
  </si>
  <si>
    <t>Dotación de elementos de aseo y cafetería.</t>
  </si>
  <si>
    <t>F.EDUCACION
F. SALUD
F.C. EXACTAS</t>
  </si>
  <si>
    <t>SA-PY2b.7</t>
  </si>
  <si>
    <t>Gestión de la estructura academico-administrativa y financiera</t>
  </si>
  <si>
    <t>SA-PY2b.8</t>
  </si>
  <si>
    <t>Dotación, renovación de Software y licencias.</t>
  </si>
  <si>
    <t>SA-PY2b.9</t>
  </si>
  <si>
    <t>Contratación personal para mantenimiento CTIC.</t>
  </si>
  <si>
    <t>Proyecto SA-PY2c. Desarrollo Proyectos Institucionales</t>
  </si>
  <si>
    <t>SA-PY2c.1</t>
  </si>
  <si>
    <t xml:space="preserve">Implementación  plataforma LCMS en la Usco para aumentar la tasa de cobertura bruta en la educación superior en el Departamento del Huila”, </t>
  </si>
  <si>
    <t>520-2</t>
  </si>
  <si>
    <t>SA-PY3.  Aseguramiento de los sistemas de Gestión de Calidad y Gestión Ambiental.</t>
  </si>
  <si>
    <t>SA-PY3.1</t>
  </si>
  <si>
    <t>Desarrollo de las actividades Gestión Ambiental y  vinculación personal del Proyecto.</t>
  </si>
  <si>
    <t>OFICINA PLANEACION</t>
  </si>
  <si>
    <t>SA-PY3.2</t>
  </si>
  <si>
    <t>Actualización y desarrollo del Sistema de Gestión de Calidad con el Plan de Desarrollo y vinculación personal del Proyecto.</t>
  </si>
  <si>
    <t>SA-PY3.3</t>
  </si>
  <si>
    <t>Afiliación y Auditoría de seguimiento de la Certificación ISO 9001:2008 NTCGP 1000:2009.</t>
  </si>
  <si>
    <t>SA-PY4.  Creación del Grupo de Proyectos Institucionales Especiales (GPIE).</t>
  </si>
  <si>
    <t>SA-PY4.1</t>
  </si>
  <si>
    <t>Gestión y apoyo al Grupo de Proyectos Institucionales Especiales "GPIE"</t>
  </si>
  <si>
    <t>SA-PY5.  Reestructuración Organizacional académica y administrativa.</t>
  </si>
  <si>
    <t>SA-PY5.1</t>
  </si>
  <si>
    <t>Elaboración de estudio de factibilidad ténico-financiero de la modernización académico administrativa.</t>
  </si>
  <si>
    <t>VIC. ADTIVA.</t>
  </si>
  <si>
    <t>SA-PY7. Formación y Capacitación al Personal Administrativo y Operativo.</t>
  </si>
  <si>
    <t>SA-PY7.1</t>
  </si>
  <si>
    <t>Ejecución Plan de Capacitación para el personal Administrativo y de Trabajadores Oficiales.</t>
  </si>
  <si>
    <t>VIC.ADTIVA.
F.EDUCACION
F.INGENIERIA</t>
  </si>
  <si>
    <t>TOTAL SUBSISTEMA ADMINISTRATIVO</t>
  </si>
  <si>
    <t>TOTALES</t>
  </si>
  <si>
    <t>CONSTRUCCIONES</t>
  </si>
  <si>
    <t>ADQUISICION EQUIPOS</t>
  </si>
  <si>
    <t>CAPACITACION</t>
  </si>
  <si>
    <t>INVESTIGACIONES</t>
  </si>
  <si>
    <t>PLANEACION</t>
  </si>
  <si>
    <t>EXTENSION</t>
  </si>
  <si>
    <t>PROYECTOS INSTITUCIONALES-SISTEMA GENERAL DE REGALIAS</t>
  </si>
  <si>
    <t>TOTAL INVERSION</t>
  </si>
  <si>
    <t>TOTAL PLAN DE ACCION 2016</t>
  </si>
  <si>
    <t>Plan  septiembre</t>
  </si>
  <si>
    <t>EJECUCIÓN EN CDP</t>
  </si>
  <si>
    <t>$</t>
  </si>
  <si>
    <t>SALDOS POR EJECUTAR EN CDP</t>
  </si>
  <si>
    <t>EJECUCIÓN EN RP</t>
  </si>
  <si>
    <t xml:space="preserve">SALDOS POR EJECUTAR </t>
  </si>
  <si>
    <t>SUBSISTEMA DE FORMACION</t>
  </si>
  <si>
    <t>SUBSISTEMA: DE INVESTIGACIÓN</t>
  </si>
  <si>
    <t>SUBSISTEMA DE PROYECCION SOCIAL</t>
  </si>
  <si>
    <t>SUBSISTEMA BIENESTAR UNIVERSITARIO</t>
  </si>
  <si>
    <t>SUBSISTEMA ADMINISTRATIVO</t>
  </si>
  <si>
    <t>% EJECUTADO</t>
  </si>
  <si>
    <t>EJECUTADO ENERO A AGOSTO</t>
  </si>
  <si>
    <t>EJECUTADO ENERO A JUNIO</t>
  </si>
  <si>
    <t>% EJECUCION ACUMULADA</t>
  </si>
  <si>
    <t>BIENESTAR</t>
  </si>
  <si>
    <t>EJECUCIÓN TOTAL</t>
  </si>
  <si>
    <t>EJECUTADO SEPTIEMBRE</t>
  </si>
  <si>
    <t>EJECUCIÓN  POR SUBSISTEMAS EN SEPTIEMBRE Y ACUMULADO DE ENERO A SEPTIEMBRE DE 2016</t>
  </si>
  <si>
    <t>EJECUTADO ENERO A SEPTIEMBRE</t>
  </si>
  <si>
    <t>ASIGNADO</t>
  </si>
  <si>
    <t>EJECUTADO</t>
  </si>
  <si>
    <t>% EJECUCION</t>
  </si>
  <si>
    <t>S. FORMACION</t>
  </si>
  <si>
    <t>S. INVESTIGACION</t>
  </si>
  <si>
    <t>S. PROYECCION SOCIAL</t>
  </si>
  <si>
    <t>S. BIENESTAR UNIVERSITARIO</t>
  </si>
  <si>
    <t>S. ADMINISTRATIVO</t>
  </si>
  <si>
    <t>CONSTRUCCION</t>
  </si>
  <si>
    <t>DOTACION</t>
  </si>
  <si>
    <t>INVESTIGACIÓN</t>
  </si>
  <si>
    <t xml:space="preserve">EXTENSION </t>
  </si>
  <si>
    <t>PROY. INSTITUCIONALES</t>
  </si>
  <si>
    <t>B. UNIVERSITARIO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</si>
</sst>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,##0\ ;[Red]\-#,##0\ "/>
    <numFmt numFmtId="165" formatCode="&quot;$ &quot;#,##0"/>
    <numFmt numFmtId="166" formatCode="_-* #,##0.00\ [$€]_-;\-* #,##0.00\ [$€]_-;_-* &quot;-&quot;??\ [$€]_-;_-@_-"/>
    <numFmt numFmtId="167" formatCode="#,##0_ ;[Red]\-#,##0\ "/>
    <numFmt numFmtId="168" formatCode="_ * #,##0.00_ ;_ * \-#,##0.00_ ;_ * &quot;-&quot;??_ ;_ @_ "/>
  </numFmts>
  <fonts count="30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.5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indexed="8"/>
      <name val="Arial"/>
      <family val="2"/>
      <charset val="1"/>
    </font>
    <font>
      <sz val="12"/>
      <color theme="1"/>
      <name val="Calibri"/>
      <family val="2"/>
      <scheme val="minor"/>
    </font>
    <font>
      <sz val="11"/>
      <name val="Arial"/>
      <family val="2"/>
    </font>
    <font>
      <sz val="12"/>
      <color theme="1"/>
      <name val="Tahoma"/>
      <family val="2"/>
    </font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1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9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14">
    <xf numFmtId="0" fontId="0" fillId="0" borderId="0"/>
    <xf numFmtId="0" fontId="23" fillId="2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24" fillId="0" borderId="0"/>
    <xf numFmtId="0" fontId="25" fillId="0" borderId="0"/>
  </cellStyleXfs>
  <cellXfs count="300">
    <xf numFmtId="0" fontId="0" fillId="0" borderId="0" xfId="0"/>
    <xf numFmtId="0" fontId="5" fillId="3" borderId="2" xfId="0" applyFont="1" applyFill="1" applyBorder="1" applyAlignment="1">
      <alignment vertical="center" wrapText="1"/>
    </xf>
    <xf numFmtId="0" fontId="5" fillId="3" borderId="2" xfId="0" applyFont="1" applyFill="1" applyBorder="1" applyAlignment="1">
      <alignment wrapText="1"/>
    </xf>
    <xf numFmtId="0" fontId="0" fillId="3" borderId="6" xfId="0" applyFill="1" applyBorder="1" applyAlignment="1">
      <alignment wrapText="1"/>
    </xf>
    <xf numFmtId="0" fontId="5" fillId="3" borderId="1" xfId="0" applyFont="1" applyFill="1" applyBorder="1" applyAlignment="1">
      <alignment vertical="center" wrapText="1"/>
    </xf>
    <xf numFmtId="0" fontId="0" fillId="3" borderId="1" xfId="0" applyFill="1" applyBorder="1" applyAlignment="1">
      <alignment wrapText="1"/>
    </xf>
    <xf numFmtId="0" fontId="0" fillId="6" borderId="1" xfId="0" applyFill="1" applyBorder="1" applyAlignment="1">
      <alignment vertical="center" wrapText="1"/>
    </xf>
    <xf numFmtId="0" fontId="5" fillId="3" borderId="3" xfId="0" applyFont="1" applyFill="1" applyBorder="1" applyAlignment="1">
      <alignment vertical="center" wrapText="1"/>
    </xf>
    <xf numFmtId="0" fontId="5" fillId="5" borderId="1" xfId="0" applyFont="1" applyFill="1" applyBorder="1" applyAlignment="1">
      <alignment vertical="center" wrapText="1"/>
    </xf>
    <xf numFmtId="0" fontId="5" fillId="5" borderId="8" xfId="0" applyFont="1" applyFill="1" applyBorder="1" applyAlignment="1">
      <alignment vertical="center" wrapText="1"/>
    </xf>
    <xf numFmtId="0" fontId="0" fillId="5" borderId="9" xfId="0" applyFill="1" applyBorder="1" applyAlignment="1">
      <alignment vertical="center" wrapText="1"/>
    </xf>
    <xf numFmtId="0" fontId="0" fillId="3" borderId="3" xfId="0" applyFill="1" applyBorder="1" applyAlignment="1">
      <alignment wrapText="1"/>
    </xf>
    <xf numFmtId="0" fontId="7" fillId="4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0" fillId="0" borderId="7" xfId="0" applyBorder="1" applyAlignment="1">
      <alignment vertical="center" textRotation="255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 wrapText="1"/>
    </xf>
    <xf numFmtId="3" fontId="10" fillId="0" borderId="1" xfId="0" applyNumberFormat="1" applyFont="1" applyFill="1" applyBorder="1" applyAlignment="1">
      <alignment horizontal="center" vertical="center" wrapText="1"/>
    </xf>
    <xf numFmtId="3" fontId="11" fillId="3" borderId="1" xfId="0" applyNumberFormat="1" applyFont="1" applyFill="1" applyBorder="1" applyAlignment="1">
      <alignment horizontal="right" vertical="center" wrapText="1"/>
    </xf>
    <xf numFmtId="10" fontId="12" fillId="0" borderId="1" xfId="0" applyNumberFormat="1" applyFont="1" applyBorder="1" applyAlignment="1">
      <alignment horizontal="center" vertical="center"/>
    </xf>
    <xf numFmtId="3" fontId="11" fillId="3" borderId="10" xfId="0" applyNumberFormat="1" applyFont="1" applyFill="1" applyBorder="1" applyAlignment="1">
      <alignment horizontal="right" vertical="center" wrapText="1"/>
    </xf>
    <xf numFmtId="3" fontId="13" fillId="0" borderId="10" xfId="0" applyNumberFormat="1" applyFont="1" applyFill="1" applyBorder="1" applyAlignment="1">
      <alignment horizontal="right" vertical="center" wrapText="1"/>
    </xf>
    <xf numFmtId="3" fontId="13" fillId="0" borderId="1" xfId="0" applyNumberFormat="1" applyFont="1" applyFill="1" applyBorder="1" applyAlignment="1">
      <alignment horizontal="right" vertical="center" wrapText="1"/>
    </xf>
    <xf numFmtId="3" fontId="0" fillId="0" borderId="0" xfId="0" applyNumberFormat="1" applyAlignment="1">
      <alignment vertical="center"/>
    </xf>
    <xf numFmtId="0" fontId="0" fillId="0" borderId="12" xfId="0" applyBorder="1" applyAlignment="1">
      <alignment vertical="center" textRotation="255"/>
    </xf>
    <xf numFmtId="0" fontId="9" fillId="0" borderId="7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top" wrapText="1"/>
    </xf>
    <xf numFmtId="3" fontId="13" fillId="3" borderId="1" xfId="0" applyNumberFormat="1" applyFont="1" applyFill="1" applyBorder="1" applyAlignment="1">
      <alignment horizontal="right" vertical="center" wrapText="1"/>
    </xf>
    <xf numFmtId="0" fontId="0" fillId="0" borderId="12" xfId="0" applyFont="1" applyBorder="1" applyAlignment="1">
      <alignment horizontal="left" vertical="top" wrapText="1"/>
    </xf>
    <xf numFmtId="0" fontId="0" fillId="0" borderId="11" xfId="0" applyBorder="1" applyAlignment="1">
      <alignment vertical="center" textRotation="255"/>
    </xf>
    <xf numFmtId="0" fontId="0" fillId="7" borderId="1" xfId="0" applyFill="1" applyBorder="1" applyAlignment="1">
      <alignment textRotation="255"/>
    </xf>
    <xf numFmtId="3" fontId="10" fillId="7" borderId="16" xfId="0" applyNumberFormat="1" applyFont="1" applyFill="1" applyBorder="1" applyAlignment="1">
      <alignment horizontal="center" vertical="center" wrapText="1"/>
    </xf>
    <xf numFmtId="3" fontId="15" fillId="7" borderId="16" xfId="0" applyNumberFormat="1" applyFont="1" applyFill="1" applyBorder="1" applyAlignment="1">
      <alignment vertical="center" wrapText="1"/>
    </xf>
    <xf numFmtId="10" fontId="12" fillId="7" borderId="16" xfId="0" applyNumberFormat="1" applyFont="1" applyFill="1" applyBorder="1" applyAlignment="1">
      <alignment horizontal="center" vertical="center"/>
    </xf>
    <xf numFmtId="3" fontId="9" fillId="7" borderId="16" xfId="0" applyNumberFormat="1" applyFont="1" applyFill="1" applyBorder="1" applyAlignment="1">
      <alignment vertical="center" wrapText="1"/>
    </xf>
    <xf numFmtId="10" fontId="12" fillId="7" borderId="1" xfId="0" applyNumberFormat="1" applyFont="1" applyFill="1" applyBorder="1" applyAlignment="1">
      <alignment horizontal="center" vertical="center"/>
    </xf>
    <xf numFmtId="3" fontId="9" fillId="7" borderId="7" xfId="0" applyNumberFormat="1" applyFont="1" applyFill="1" applyBorder="1" applyAlignment="1">
      <alignment vertical="center" wrapText="1"/>
    </xf>
    <xf numFmtId="0" fontId="0" fillId="3" borderId="0" xfId="0" applyFill="1"/>
    <xf numFmtId="3" fontId="10" fillId="0" borderId="11" xfId="0" applyNumberFormat="1" applyFont="1" applyFill="1" applyBorder="1" applyAlignment="1">
      <alignment horizontal="center" vertical="center" wrapText="1"/>
    </xf>
    <xf numFmtId="3" fontId="11" fillId="3" borderId="11" xfId="0" applyNumberFormat="1" applyFont="1" applyFill="1" applyBorder="1" applyAlignment="1">
      <alignment horizontal="right" vertical="center" wrapText="1"/>
    </xf>
    <xf numFmtId="3" fontId="13" fillId="3" borderId="11" xfId="0" applyNumberFormat="1" applyFont="1" applyFill="1" applyBorder="1" applyAlignment="1">
      <alignment horizontal="right" vertical="center" wrapText="1"/>
    </xf>
    <xf numFmtId="3" fontId="13" fillId="0" borderId="11" xfId="0" applyNumberFormat="1" applyFont="1" applyFill="1" applyBorder="1" applyAlignment="1">
      <alignment horizontal="right" vertical="center" wrapText="1"/>
    </xf>
    <xf numFmtId="10" fontId="12" fillId="0" borderId="11" xfId="0" applyNumberFormat="1" applyFont="1" applyBorder="1" applyAlignment="1">
      <alignment horizontal="center" vertical="center"/>
    </xf>
    <xf numFmtId="0" fontId="9" fillId="0" borderId="12" xfId="0" applyFont="1" applyFill="1" applyBorder="1" applyAlignment="1">
      <alignment horizontal="left" vertical="top" wrapText="1"/>
    </xf>
    <xf numFmtId="0" fontId="13" fillId="0" borderId="1" xfId="0" applyFont="1" applyBorder="1" applyAlignment="1">
      <alignment horizontal="center" vertical="center" wrapText="1"/>
    </xf>
    <xf numFmtId="3" fontId="0" fillId="3" borderId="0" xfId="0" applyNumberFormat="1" applyFill="1" applyAlignment="1">
      <alignment vertical="center"/>
    </xf>
    <xf numFmtId="3" fontId="0" fillId="0" borderId="0" xfId="0" applyNumberFormat="1"/>
    <xf numFmtId="0" fontId="9" fillId="3" borderId="1" xfId="0" applyFont="1" applyFill="1" applyBorder="1" applyAlignment="1">
      <alignment vertical="center" wrapText="1"/>
    </xf>
    <xf numFmtId="3" fontId="11" fillId="0" borderId="1" xfId="0" applyNumberFormat="1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horizontal="center" vertical="center" wrapText="1"/>
    </xf>
    <xf numFmtId="3" fontId="11" fillId="0" borderId="11" xfId="0" applyNumberFormat="1" applyFont="1" applyFill="1" applyBorder="1" applyAlignment="1">
      <alignment horizontal="right" vertical="center" wrapText="1"/>
    </xf>
    <xf numFmtId="10" fontId="12" fillId="0" borderId="1" xfId="0" applyNumberFormat="1" applyFont="1" applyFill="1" applyBorder="1" applyAlignment="1">
      <alignment horizontal="center" vertical="center"/>
    </xf>
    <xf numFmtId="0" fontId="0" fillId="0" borderId="0" xfId="0" applyFill="1"/>
    <xf numFmtId="0" fontId="0" fillId="7" borderId="1" xfId="0" applyFill="1" applyBorder="1" applyAlignment="1"/>
    <xf numFmtId="3" fontId="10" fillId="7" borderId="1" xfId="0" applyNumberFormat="1" applyFont="1" applyFill="1" applyBorder="1" applyAlignment="1">
      <alignment horizontal="center" vertical="center" wrapText="1"/>
    </xf>
    <xf numFmtId="3" fontId="15" fillId="7" borderId="16" xfId="0" applyNumberFormat="1" applyFont="1" applyFill="1" applyBorder="1" applyAlignment="1">
      <alignment horizontal="right" vertical="center" wrapText="1"/>
    </xf>
    <xf numFmtId="3" fontId="15" fillId="7" borderId="2" xfId="0" applyNumberFormat="1" applyFont="1" applyFill="1" applyBorder="1" applyAlignment="1">
      <alignment horizontal="right" vertical="center" wrapText="1"/>
    </xf>
    <xf numFmtId="0" fontId="9" fillId="0" borderId="1" xfId="0" applyFont="1" applyFill="1" applyBorder="1" applyAlignment="1">
      <alignment vertical="top" wrapText="1"/>
    </xf>
    <xf numFmtId="0" fontId="9" fillId="0" borderId="7" xfId="0" applyFont="1" applyFill="1" applyBorder="1" applyAlignment="1">
      <alignment horizontal="center" vertical="center" wrapText="1"/>
    </xf>
    <xf numFmtId="3" fontId="13" fillId="3" borderId="1" xfId="0" applyNumberFormat="1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left" vertical="center" wrapText="1"/>
    </xf>
    <xf numFmtId="3" fontId="10" fillId="0" borderId="7" xfId="0" applyNumberFormat="1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3" fontId="13" fillId="3" borderId="7" xfId="0" applyNumberFormat="1" applyFont="1" applyFill="1" applyBorder="1" applyAlignment="1">
      <alignment horizontal="right" vertical="center" wrapText="1"/>
    </xf>
    <xf numFmtId="3" fontId="13" fillId="0" borderId="7" xfId="0" applyNumberFormat="1" applyFont="1" applyFill="1" applyBorder="1" applyAlignment="1">
      <alignment horizontal="right" vertical="center" wrapText="1"/>
    </xf>
    <xf numFmtId="3" fontId="11" fillId="3" borderId="7" xfId="0" applyNumberFormat="1" applyFont="1" applyFill="1" applyBorder="1" applyAlignment="1">
      <alignment horizontal="right" vertical="center" wrapText="1"/>
    </xf>
    <xf numFmtId="0" fontId="0" fillId="7" borderId="1" xfId="0" applyFill="1" applyBorder="1"/>
    <xf numFmtId="0" fontId="0" fillId="0" borderId="3" xfId="0" applyFont="1" applyBorder="1"/>
    <xf numFmtId="0" fontId="0" fillId="3" borderId="0" xfId="0" applyFont="1" applyFill="1" applyBorder="1" applyAlignment="1">
      <alignment horizontal="center" vertical="center" wrapText="1"/>
    </xf>
    <xf numFmtId="0" fontId="9" fillId="3" borderId="0" xfId="0" applyFont="1" applyFill="1" applyBorder="1" applyAlignment="1">
      <alignment vertical="center" wrapText="1"/>
    </xf>
    <xf numFmtId="0" fontId="9" fillId="3" borderId="0" xfId="0" applyFont="1" applyFill="1" applyBorder="1"/>
    <xf numFmtId="0" fontId="9" fillId="3" borderId="0" xfId="0" applyFont="1" applyFill="1" applyBorder="1" applyAlignment="1">
      <alignment horizontal="center" textRotation="255" wrapText="1"/>
    </xf>
    <xf numFmtId="3" fontId="1" fillId="3" borderId="0" xfId="0" applyNumberFormat="1" applyFont="1" applyFill="1" applyBorder="1" applyAlignment="1">
      <alignment horizontal="right"/>
    </xf>
    <xf numFmtId="3" fontId="13" fillId="3" borderId="0" xfId="0" applyNumberFormat="1" applyFont="1" applyFill="1" applyBorder="1" applyAlignment="1">
      <alignment horizontal="right" vertical="center" wrapText="1"/>
    </xf>
    <xf numFmtId="0" fontId="0" fillId="0" borderId="0" xfId="0" applyBorder="1" applyAlignment="1">
      <alignment horizontal="center" vertical="center"/>
    </xf>
    <xf numFmtId="0" fontId="9" fillId="0" borderId="0" xfId="0" applyFont="1" applyFill="1" applyAlignment="1">
      <alignment horizontal="right"/>
    </xf>
    <xf numFmtId="3" fontId="13" fillId="0" borderId="4" xfId="0" applyNumberFormat="1" applyFont="1" applyFill="1" applyBorder="1" applyAlignment="1">
      <alignment horizontal="right" vertical="center" wrapText="1"/>
    </xf>
    <xf numFmtId="0" fontId="0" fillId="0" borderId="11" xfId="0" applyBorder="1" applyAlignment="1">
      <alignment horizontal="center" vertical="center"/>
    </xf>
    <xf numFmtId="164" fontId="13" fillId="0" borderId="4" xfId="0" applyNumberFormat="1" applyFont="1" applyFill="1" applyBorder="1" applyAlignment="1">
      <alignment horizontal="right" vertical="center" wrapText="1"/>
    </xf>
    <xf numFmtId="0" fontId="9" fillId="0" borderId="7" xfId="0" applyFont="1" applyFill="1" applyBorder="1" applyAlignment="1">
      <alignment horizontal="left" vertical="top" wrapText="1"/>
    </xf>
    <xf numFmtId="0" fontId="8" fillId="3" borderId="7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top" wrapText="1"/>
    </xf>
    <xf numFmtId="0" fontId="10" fillId="0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textRotation="255"/>
    </xf>
    <xf numFmtId="0" fontId="9" fillId="0" borderId="2" xfId="0" applyFont="1" applyFill="1" applyBorder="1" applyAlignment="1">
      <alignment horizontal="left" vertical="top" wrapText="1"/>
    </xf>
    <xf numFmtId="0" fontId="9" fillId="0" borderId="18" xfId="0" applyFont="1" applyFill="1" applyBorder="1" applyAlignment="1">
      <alignment vertical="center" wrapText="1"/>
    </xf>
    <xf numFmtId="3" fontId="10" fillId="0" borderId="6" xfId="0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vertical="center" wrapText="1"/>
    </xf>
    <xf numFmtId="0" fontId="0" fillId="0" borderId="12" xfId="0" applyBorder="1" applyAlignment="1">
      <alignment horizontal="center" vertical="center" textRotation="255"/>
    </xf>
    <xf numFmtId="0" fontId="0" fillId="7" borderId="16" xfId="0" applyFill="1" applyBorder="1"/>
    <xf numFmtId="0" fontId="8" fillId="7" borderId="14" xfId="0" applyFont="1" applyFill="1" applyBorder="1" applyAlignment="1">
      <alignment horizontal="center" vertical="center" wrapText="1"/>
    </xf>
    <xf numFmtId="0" fontId="8" fillId="7" borderId="15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3" fontId="19" fillId="3" borderId="4" xfId="0" applyNumberFormat="1" applyFont="1" applyFill="1" applyBorder="1" applyAlignment="1">
      <alignment horizontal="right" vertical="center" wrapText="1"/>
    </xf>
    <xf numFmtId="3" fontId="19" fillId="3" borderId="11" xfId="0" applyNumberFormat="1" applyFont="1" applyFill="1" applyBorder="1" applyAlignment="1">
      <alignment horizontal="right" vertical="center" wrapText="1"/>
    </xf>
    <xf numFmtId="3" fontId="13" fillId="3" borderId="4" xfId="0" applyNumberFormat="1" applyFont="1" applyFill="1" applyBorder="1" applyAlignment="1">
      <alignment horizontal="right" vertical="center" wrapText="1"/>
    </xf>
    <xf numFmtId="10" fontId="0" fillId="0" borderId="11" xfId="0" applyNumberFormat="1" applyBorder="1" applyAlignment="1">
      <alignment horizontal="center" vertical="center"/>
    </xf>
    <xf numFmtId="3" fontId="13" fillId="0" borderId="19" xfId="0" applyNumberFormat="1" applyFont="1" applyFill="1" applyBorder="1" applyAlignment="1">
      <alignment horizontal="right" vertical="center" wrapText="1"/>
    </xf>
    <xf numFmtId="3" fontId="0" fillId="0" borderId="11" xfId="0" applyNumberFormat="1" applyBorder="1" applyAlignment="1">
      <alignment horizontal="right" vertical="center"/>
    </xf>
    <xf numFmtId="10" fontId="0" fillId="0" borderId="1" xfId="0" applyNumberFormat="1" applyBorder="1" applyAlignment="1">
      <alignment horizontal="center" vertical="center"/>
    </xf>
    <xf numFmtId="10" fontId="9" fillId="0" borderId="1" xfId="0" applyNumberFormat="1" applyFont="1" applyBorder="1" applyAlignment="1">
      <alignment horizontal="center" vertical="center"/>
    </xf>
    <xf numFmtId="0" fontId="8" fillId="3" borderId="9" xfId="0" applyFont="1" applyFill="1" applyBorder="1" applyAlignment="1">
      <alignment vertical="center" wrapText="1"/>
    </xf>
    <xf numFmtId="0" fontId="0" fillId="3" borderId="9" xfId="0" applyFill="1" applyBorder="1"/>
    <xf numFmtId="3" fontId="9" fillId="0" borderId="9" xfId="0" applyNumberFormat="1" applyFont="1" applyFill="1" applyBorder="1"/>
    <xf numFmtId="3" fontId="9" fillId="0" borderId="1" xfId="0" applyNumberFormat="1" applyFont="1" applyFill="1" applyBorder="1"/>
    <xf numFmtId="3" fontId="8" fillId="3" borderId="9" xfId="0" applyNumberFormat="1" applyFont="1" applyFill="1" applyBorder="1" applyAlignment="1">
      <alignment horizontal="right" vertical="center" wrapText="1"/>
    </xf>
    <xf numFmtId="0" fontId="0" fillId="0" borderId="1" xfId="0" applyBorder="1" applyAlignment="1">
      <alignment horizontal="center" vertical="center"/>
    </xf>
    <xf numFmtId="0" fontId="0" fillId="0" borderId="9" xfId="0" applyFill="1" applyBorder="1"/>
    <xf numFmtId="164" fontId="8" fillId="3" borderId="9" xfId="0" applyNumberFormat="1" applyFont="1" applyFill="1" applyBorder="1" applyAlignment="1">
      <alignment horizontal="right" vertical="center" wrapText="1"/>
    </xf>
    <xf numFmtId="0" fontId="9" fillId="0" borderId="8" xfId="0" applyFont="1" applyFill="1" applyBorder="1"/>
    <xf numFmtId="0" fontId="9" fillId="0" borderId="9" xfId="0" applyFont="1" applyFill="1" applyBorder="1"/>
    <xf numFmtId="0" fontId="0" fillId="0" borderId="1" xfId="0" applyFill="1" applyBorder="1"/>
    <xf numFmtId="3" fontId="8" fillId="0" borderId="1" xfId="0" applyNumberFormat="1" applyFont="1" applyBorder="1" applyAlignment="1">
      <alignment horizontal="right" wrapText="1"/>
    </xf>
    <xf numFmtId="0" fontId="8" fillId="0" borderId="1" xfId="0" applyFont="1" applyBorder="1" applyAlignment="1">
      <alignment horizontal="right" vertical="center" wrapText="1"/>
    </xf>
    <xf numFmtId="3" fontId="8" fillId="0" borderId="1" xfId="0" applyNumberFormat="1" applyFont="1" applyBorder="1" applyAlignment="1">
      <alignment vertical="center" wrapText="1"/>
    </xf>
    <xf numFmtId="3" fontId="13" fillId="0" borderId="1" xfId="0" applyNumberFormat="1" applyFont="1" applyBorder="1" applyAlignment="1">
      <alignment vertical="center" wrapText="1"/>
    </xf>
    <xf numFmtId="3" fontId="8" fillId="0" borderId="8" xfId="0" applyNumberFormat="1" applyFont="1" applyBorder="1" applyAlignment="1">
      <alignment vertical="center" wrapText="1"/>
    </xf>
    <xf numFmtId="10" fontId="0" fillId="3" borderId="1" xfId="0" applyNumberFormat="1" applyFill="1" applyBorder="1" applyAlignment="1">
      <alignment horizontal="center" vertical="center"/>
    </xf>
    <xf numFmtId="164" fontId="13" fillId="0" borderId="1" xfId="0" applyNumberFormat="1" applyFont="1" applyBorder="1" applyAlignment="1">
      <alignment vertical="center" wrapText="1"/>
    </xf>
    <xf numFmtId="164" fontId="13" fillId="0" borderId="8" xfId="0" applyNumberFormat="1" applyFont="1" applyBorder="1" applyAlignment="1">
      <alignment vertical="center" wrapText="1"/>
    </xf>
    <xf numFmtId="10" fontId="9" fillId="3" borderId="1" xfId="0" applyNumberFormat="1" applyFont="1" applyFill="1" applyBorder="1" applyAlignment="1">
      <alignment horizontal="center" vertical="center"/>
    </xf>
    <xf numFmtId="3" fontId="13" fillId="0" borderId="8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vertical="center" wrapText="1"/>
    </xf>
    <xf numFmtId="0" fontId="8" fillId="0" borderId="1" xfId="0" applyFont="1" applyBorder="1" applyAlignment="1">
      <alignment horizontal="right" wrapText="1"/>
    </xf>
    <xf numFmtId="0" fontId="8" fillId="0" borderId="1" xfId="0" applyFont="1" applyBorder="1" applyAlignment="1">
      <alignment horizontal="right"/>
    </xf>
    <xf numFmtId="0" fontId="8" fillId="3" borderId="1" xfId="0" applyFont="1" applyFill="1" applyBorder="1" applyAlignment="1">
      <alignment horizontal="right" vertical="center" wrapText="1"/>
    </xf>
    <xf numFmtId="0" fontId="0" fillId="0" borderId="1" xfId="0" applyBorder="1"/>
    <xf numFmtId="3" fontId="0" fillId="0" borderId="1" xfId="0" applyNumberFormat="1" applyBorder="1"/>
    <xf numFmtId="3" fontId="13" fillId="0" borderId="1" xfId="0" applyNumberFormat="1" applyFont="1" applyBorder="1"/>
    <xf numFmtId="3" fontId="8" fillId="0" borderId="1" xfId="0" applyNumberFormat="1" applyFont="1" applyBorder="1"/>
    <xf numFmtId="0" fontId="0" fillId="0" borderId="1" xfId="0" applyBorder="1" applyAlignment="1">
      <alignment horizontal="center"/>
    </xf>
    <xf numFmtId="0" fontId="0" fillId="0" borderId="16" xfId="0" applyBorder="1"/>
    <xf numFmtId="3" fontId="0" fillId="0" borderId="16" xfId="0" applyNumberFormat="1" applyBorder="1"/>
    <xf numFmtId="3" fontId="13" fillId="0" borderId="16" xfId="0" applyNumberFormat="1" applyFont="1" applyBorder="1"/>
    <xf numFmtId="3" fontId="13" fillId="3" borderId="16" xfId="0" applyNumberFormat="1" applyFont="1" applyFill="1" applyBorder="1"/>
    <xf numFmtId="10" fontId="0" fillId="3" borderId="16" xfId="0" applyNumberFormat="1" applyFill="1" applyBorder="1" applyAlignment="1">
      <alignment horizontal="center" vertical="center"/>
    </xf>
    <xf numFmtId="3" fontId="13" fillId="0" borderId="15" xfId="0" applyNumberFormat="1" applyFont="1" applyBorder="1"/>
    <xf numFmtId="3" fontId="13" fillId="0" borderId="15" xfId="0" applyNumberFormat="1" applyFont="1" applyFill="1" applyBorder="1" applyAlignment="1">
      <alignment horizontal="right" vertical="center" wrapText="1"/>
    </xf>
    <xf numFmtId="10" fontId="9" fillId="3" borderId="16" xfId="0" applyNumberFormat="1" applyFont="1" applyFill="1" applyBorder="1" applyAlignment="1">
      <alignment horizontal="center" vertical="center"/>
    </xf>
    <xf numFmtId="3" fontId="13" fillId="0" borderId="16" xfId="0" applyNumberFormat="1" applyFont="1" applyFill="1" applyBorder="1" applyAlignment="1">
      <alignment horizontal="right" vertical="center" wrapText="1"/>
    </xf>
    <xf numFmtId="3" fontId="13" fillId="0" borderId="13" xfId="0" applyNumberFormat="1" applyFont="1" applyBorder="1"/>
    <xf numFmtId="10" fontId="12" fillId="0" borderId="16" xfId="0" applyNumberFormat="1" applyFont="1" applyBorder="1" applyAlignment="1">
      <alignment horizontal="center" vertical="center"/>
    </xf>
    <xf numFmtId="3" fontId="8" fillId="0" borderId="16" xfId="0" applyNumberFormat="1" applyFont="1" applyBorder="1"/>
    <xf numFmtId="0" fontId="0" fillId="0" borderId="0" xfId="0" applyBorder="1"/>
    <xf numFmtId="165" fontId="20" fillId="0" borderId="0" xfId="0" applyNumberFormat="1" applyFont="1" applyFill="1" applyBorder="1" applyAlignment="1">
      <alignment horizontal="right" vertical="center"/>
    </xf>
    <xf numFmtId="3" fontId="2" fillId="0" borderId="0" xfId="0" applyNumberFormat="1" applyFont="1" applyBorder="1"/>
    <xf numFmtId="3" fontId="13" fillId="0" borderId="0" xfId="0" applyNumberFormat="1" applyFont="1" applyBorder="1"/>
    <xf numFmtId="0" fontId="21" fillId="0" borderId="0" xfId="0" applyFont="1"/>
    <xf numFmtId="0" fontId="0" fillId="0" borderId="0" xfId="0" applyAlignment="1">
      <alignment horizontal="left"/>
    </xf>
    <xf numFmtId="0" fontId="22" fillId="0" borderId="0" xfId="0" applyFont="1" applyBorder="1"/>
    <xf numFmtId="3" fontId="0" fillId="0" borderId="0" xfId="0" applyNumberFormat="1" applyBorder="1"/>
    <xf numFmtId="0" fontId="5" fillId="5" borderId="1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/>
    </xf>
    <xf numFmtId="0" fontId="3" fillId="0" borderId="3" xfId="0" applyFont="1" applyBorder="1" applyAlignment="1"/>
    <xf numFmtId="0" fontId="3" fillId="0" borderId="4" xfId="0" applyFont="1" applyBorder="1" applyAlignment="1"/>
    <xf numFmtId="0" fontId="3" fillId="0" borderId="5" xfId="0" applyFont="1" applyBorder="1" applyAlignment="1"/>
    <xf numFmtId="0" fontId="0" fillId="6" borderId="8" xfId="0" applyFill="1" applyBorder="1" applyAlignment="1">
      <alignment vertical="center" wrapText="1"/>
    </xf>
    <xf numFmtId="0" fontId="0" fillId="6" borderId="9" xfId="0" applyFill="1" applyBorder="1" applyAlignment="1">
      <alignment vertical="center" wrapText="1"/>
    </xf>
    <xf numFmtId="0" fontId="0" fillId="6" borderId="10" xfId="0" applyFill="1" applyBorder="1" applyAlignment="1">
      <alignment vertical="center" wrapText="1"/>
    </xf>
    <xf numFmtId="0" fontId="0" fillId="5" borderId="8" xfId="0" applyFill="1" applyBorder="1" applyAlignment="1">
      <alignment vertical="center" wrapText="1"/>
    </xf>
    <xf numFmtId="0" fontId="0" fillId="5" borderId="10" xfId="0" applyFill="1" applyBorder="1" applyAlignment="1">
      <alignment vertical="center" wrapText="1"/>
    </xf>
    <xf numFmtId="10" fontId="9" fillId="0" borderId="16" xfId="0" applyNumberFormat="1" applyFont="1" applyBorder="1" applyAlignment="1">
      <alignment horizontal="center" vertical="center"/>
    </xf>
    <xf numFmtId="0" fontId="26" fillId="0" borderId="3" xfId="0" applyFont="1" applyBorder="1" applyAlignment="1">
      <alignment horizontal="center" vertical="center"/>
    </xf>
    <xf numFmtId="0" fontId="26" fillId="0" borderId="4" xfId="0" applyFont="1" applyBorder="1" applyAlignment="1">
      <alignment vertical="center"/>
    </xf>
    <xf numFmtId="0" fontId="26" fillId="0" borderId="5" xfId="0" applyFont="1" applyBorder="1" applyAlignment="1">
      <alignment vertical="center"/>
    </xf>
    <xf numFmtId="3" fontId="7" fillId="0" borderId="11" xfId="0" applyNumberFormat="1" applyFont="1" applyBorder="1" applyAlignment="1">
      <alignment horizontal="center" wrapText="1"/>
    </xf>
    <xf numFmtId="3" fontId="0" fillId="0" borderId="11" xfId="0" applyNumberFormat="1" applyBorder="1"/>
    <xf numFmtId="3" fontId="27" fillId="3" borderId="1" xfId="0" applyNumberFormat="1" applyFont="1" applyFill="1" applyBorder="1" applyAlignment="1">
      <alignment vertical="center" wrapText="1"/>
    </xf>
    <xf numFmtId="3" fontId="0" fillId="0" borderId="1" xfId="0" applyNumberFormat="1" applyBorder="1" applyAlignment="1">
      <alignment horizontal="center"/>
    </xf>
    <xf numFmtId="3" fontId="12" fillId="3" borderId="1" xfId="0" applyNumberFormat="1" applyFont="1" applyFill="1" applyBorder="1" applyAlignment="1">
      <alignment vertical="center" wrapText="1"/>
    </xf>
    <xf numFmtId="3" fontId="27" fillId="3" borderId="7" xfId="0" applyNumberFormat="1" applyFont="1" applyFill="1" applyBorder="1" applyAlignment="1">
      <alignment vertical="center" wrapText="1"/>
    </xf>
    <xf numFmtId="3" fontId="0" fillId="0" borderId="7" xfId="0" applyNumberFormat="1" applyBorder="1"/>
    <xf numFmtId="3" fontId="12" fillId="3" borderId="7" xfId="0" applyNumberFormat="1" applyFont="1" applyFill="1" applyBorder="1" applyAlignment="1">
      <alignment vertical="center" wrapText="1"/>
    </xf>
    <xf numFmtId="3" fontId="28" fillId="3" borderId="16" xfId="0" applyNumberFormat="1" applyFont="1" applyFill="1" applyBorder="1" applyAlignment="1">
      <alignment vertical="center" wrapText="1"/>
    </xf>
    <xf numFmtId="0" fontId="0" fillId="0" borderId="16" xfId="0" applyBorder="1" applyAlignment="1">
      <alignment horizontal="center"/>
    </xf>
    <xf numFmtId="3" fontId="0" fillId="0" borderId="16" xfId="0" applyNumberFormat="1" applyBorder="1" applyAlignment="1">
      <alignment horizontal="center"/>
    </xf>
    <xf numFmtId="3" fontId="12" fillId="3" borderId="16" xfId="0" applyNumberFormat="1" applyFont="1" applyFill="1" applyBorder="1" applyAlignment="1">
      <alignment vertical="center" wrapText="1"/>
    </xf>
    <xf numFmtId="0" fontId="0" fillId="0" borderId="14" xfId="0" applyBorder="1"/>
    <xf numFmtId="0" fontId="26" fillId="0" borderId="0" xfId="0" applyFont="1" applyBorder="1" applyAlignment="1">
      <alignment vertical="center"/>
    </xf>
    <xf numFmtId="3" fontId="0" fillId="0" borderId="1" xfId="0" applyNumberFormat="1" applyBorder="1" applyAlignment="1">
      <alignment horizontal="center" wrapText="1"/>
    </xf>
    <xf numFmtId="10" fontId="0" fillId="0" borderId="1" xfId="0" applyNumberFormat="1" applyBorder="1" applyAlignment="1">
      <alignment horizontal="center"/>
    </xf>
    <xf numFmtId="10" fontId="0" fillId="0" borderId="16" xfId="0" applyNumberFormat="1" applyBorder="1" applyAlignment="1">
      <alignment horizontal="center"/>
    </xf>
    <xf numFmtId="10" fontId="0" fillId="0" borderId="0" xfId="0" applyNumberFormat="1"/>
    <xf numFmtId="4" fontId="0" fillId="0" borderId="1" xfId="0" applyNumberFormat="1" applyBorder="1" applyAlignment="1">
      <alignment horizontal="center"/>
    </xf>
    <xf numFmtId="0" fontId="26" fillId="3" borderId="0" xfId="0" applyFont="1" applyFill="1" applyBorder="1" applyAlignment="1">
      <alignment vertical="center"/>
    </xf>
    <xf numFmtId="0" fontId="26" fillId="3" borderId="0" xfId="0" applyFont="1" applyFill="1" applyBorder="1" applyAlignment="1">
      <alignment horizontal="center" vertical="center"/>
    </xf>
    <xf numFmtId="0" fontId="26" fillId="3" borderId="0" xfId="0" applyFont="1" applyFill="1" applyBorder="1" applyAlignment="1">
      <alignment horizontal="center" vertical="center" wrapText="1"/>
    </xf>
    <xf numFmtId="0" fontId="9" fillId="3" borderId="0" xfId="0" applyFont="1" applyFill="1" applyBorder="1" applyAlignment="1"/>
    <xf numFmtId="3" fontId="29" fillId="3" borderId="0" xfId="0" applyNumberFormat="1" applyFont="1" applyFill="1" applyBorder="1" applyAlignment="1">
      <alignment vertical="center" wrapText="1"/>
    </xf>
    <xf numFmtId="3" fontId="11" fillId="3" borderId="0" xfId="0" applyNumberFormat="1" applyFont="1" applyFill="1" applyBorder="1" applyAlignment="1">
      <alignment vertical="center" wrapText="1"/>
    </xf>
    <xf numFmtId="10" fontId="9" fillId="3" borderId="0" xfId="0" applyNumberFormat="1" applyFont="1" applyFill="1" applyBorder="1"/>
    <xf numFmtId="0" fontId="9" fillId="3" borderId="0" xfId="0" applyFont="1" applyFill="1" applyBorder="1" applyAlignment="1">
      <alignment horizontal="center"/>
    </xf>
    <xf numFmtId="3" fontId="9" fillId="3" borderId="0" xfId="0" applyNumberFormat="1" applyFont="1" applyFill="1" applyBorder="1" applyAlignment="1"/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wrapText="1"/>
    </xf>
    <xf numFmtId="3" fontId="3" fillId="0" borderId="3" xfId="0" applyNumberFormat="1" applyFont="1" applyBorder="1" applyAlignment="1">
      <alignment horizontal="center"/>
    </xf>
    <xf numFmtId="3" fontId="3" fillId="0" borderId="4" xfId="0" applyNumberFormat="1" applyFont="1" applyBorder="1" applyAlignment="1">
      <alignment horizontal="center"/>
    </xf>
    <xf numFmtId="3" fontId="3" fillId="0" borderId="5" xfId="0" applyNumberFormat="1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7" fillId="4" borderId="1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8" fillId="4" borderId="7" xfId="0" applyFont="1" applyFill="1" applyBorder="1" applyAlignment="1">
      <alignment horizontal="center" vertical="center" wrapText="1"/>
    </xf>
    <xf numFmtId="0" fontId="8" fillId="4" borderId="11" xfId="0" applyFont="1" applyFill="1" applyBorder="1" applyAlignment="1">
      <alignment horizontal="center" vertical="center" wrapText="1"/>
    </xf>
    <xf numFmtId="0" fontId="0" fillId="0" borderId="7" xfId="0" applyFont="1" applyBorder="1" applyAlignment="1">
      <alignment horizontal="left" vertical="top" wrapText="1"/>
    </xf>
    <xf numFmtId="0" fontId="0" fillId="0" borderId="11" xfId="0" applyFont="1" applyBorder="1" applyAlignment="1">
      <alignment horizontal="left" vertical="top" wrapText="1"/>
    </xf>
    <xf numFmtId="0" fontId="0" fillId="4" borderId="8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0" fontId="0" fillId="4" borderId="10" xfId="0" applyFill="1" applyBorder="1" applyAlignment="1">
      <alignment horizontal="center" vertical="center" wrapText="1"/>
    </xf>
    <xf numFmtId="0" fontId="0" fillId="5" borderId="8" xfId="0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0" fontId="0" fillId="5" borderId="10" xfId="0" applyFill="1" applyBorder="1" applyAlignment="1">
      <alignment horizontal="center" vertical="center" wrapText="1"/>
    </xf>
    <xf numFmtId="0" fontId="0" fillId="6" borderId="8" xfId="0" applyFill="1" applyBorder="1" applyAlignment="1">
      <alignment horizontal="center" vertical="center" wrapText="1"/>
    </xf>
    <xf numFmtId="0" fontId="0" fillId="6" borderId="9" xfId="0" applyFill="1" applyBorder="1" applyAlignment="1">
      <alignment horizontal="center" vertical="center" wrapText="1"/>
    </xf>
    <xf numFmtId="0" fontId="0" fillId="6" borderId="10" xfId="0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0" fontId="0" fillId="0" borderId="12" xfId="0" applyFont="1" applyBorder="1" applyAlignment="1">
      <alignment horizontal="left" vertical="top" wrapText="1"/>
    </xf>
    <xf numFmtId="0" fontId="0" fillId="0" borderId="7" xfId="0" applyBorder="1" applyAlignment="1">
      <alignment horizontal="center" vertical="center" textRotation="255" wrapText="1"/>
    </xf>
    <xf numFmtId="0" fontId="0" fillId="0" borderId="12" xfId="0" applyBorder="1" applyAlignment="1">
      <alignment horizontal="center" vertical="center" textRotation="255" wrapText="1"/>
    </xf>
    <xf numFmtId="0" fontId="0" fillId="0" borderId="11" xfId="0" applyBorder="1" applyAlignment="1">
      <alignment horizontal="center" vertical="center" textRotation="255" wrapText="1"/>
    </xf>
    <xf numFmtId="0" fontId="9" fillId="0" borderId="7" xfId="0" applyFont="1" applyFill="1" applyBorder="1" applyAlignment="1">
      <alignment horizontal="left" vertical="top" wrapText="1"/>
    </xf>
    <xf numFmtId="0" fontId="9" fillId="0" borderId="12" xfId="0" applyFont="1" applyFill="1" applyBorder="1" applyAlignment="1">
      <alignment horizontal="left" vertical="top" wrapText="1"/>
    </xf>
    <xf numFmtId="0" fontId="9" fillId="0" borderId="11" xfId="0" applyFont="1" applyFill="1" applyBorder="1" applyAlignment="1">
      <alignment horizontal="left" vertical="top" wrapText="1"/>
    </xf>
    <xf numFmtId="0" fontId="14" fillId="7" borderId="13" xfId="0" applyFont="1" applyFill="1" applyBorder="1" applyAlignment="1">
      <alignment horizontal="center" vertical="center" wrapText="1"/>
    </xf>
    <xf numFmtId="0" fontId="14" fillId="7" borderId="14" xfId="0" applyFont="1" applyFill="1" applyBorder="1" applyAlignment="1">
      <alignment horizontal="center" vertical="center" wrapText="1"/>
    </xf>
    <xf numFmtId="0" fontId="14" fillId="7" borderId="15" xfId="0" applyFont="1" applyFill="1" applyBorder="1" applyAlignment="1">
      <alignment horizontal="center" vertical="center" wrapText="1"/>
    </xf>
    <xf numFmtId="0" fontId="9" fillId="0" borderId="17" xfId="0" applyFont="1" applyFill="1" applyBorder="1" applyAlignment="1">
      <alignment horizontal="left" vertical="top" wrapText="1"/>
    </xf>
    <xf numFmtId="0" fontId="0" fillId="0" borderId="12" xfId="0" applyBorder="1" applyAlignment="1">
      <alignment horizontal="center" vertical="center" textRotation="255"/>
    </xf>
    <xf numFmtId="0" fontId="0" fillId="0" borderId="11" xfId="0" applyBorder="1" applyAlignment="1">
      <alignment horizontal="center" vertical="center" textRotation="255"/>
    </xf>
    <xf numFmtId="0" fontId="14" fillId="7" borderId="1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textRotation="255"/>
    </xf>
    <xf numFmtId="0" fontId="9" fillId="0" borderId="7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16" fillId="7" borderId="13" xfId="0" applyFont="1" applyFill="1" applyBorder="1" applyAlignment="1">
      <alignment horizontal="center" vertical="center" wrapText="1"/>
    </xf>
    <xf numFmtId="0" fontId="16" fillId="7" borderId="14" xfId="0" applyFont="1" applyFill="1" applyBorder="1" applyAlignment="1">
      <alignment horizontal="center" vertical="center" wrapText="1"/>
    </xf>
    <xf numFmtId="0" fontId="16" fillId="7" borderId="15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textRotation="255"/>
    </xf>
    <xf numFmtId="0" fontId="17" fillId="7" borderId="13" xfId="0" applyFont="1" applyFill="1" applyBorder="1" applyAlignment="1">
      <alignment horizontal="center" vertical="center" wrapText="1"/>
    </xf>
    <xf numFmtId="0" fontId="17" fillId="7" borderId="14" xfId="0" applyFont="1" applyFill="1" applyBorder="1" applyAlignment="1">
      <alignment horizontal="center" vertical="center" wrapText="1"/>
    </xf>
    <xf numFmtId="0" fontId="17" fillId="7" borderId="15" xfId="0" applyFont="1" applyFill="1" applyBorder="1" applyAlignment="1">
      <alignment horizontal="center" vertical="center" wrapText="1"/>
    </xf>
    <xf numFmtId="0" fontId="18" fillId="7" borderId="13" xfId="0" applyFont="1" applyFill="1" applyBorder="1" applyAlignment="1">
      <alignment horizontal="center" vertical="center" wrapText="1"/>
    </xf>
    <xf numFmtId="0" fontId="18" fillId="7" borderId="14" xfId="0" applyFont="1" applyFill="1" applyBorder="1" applyAlignment="1">
      <alignment horizontal="center" vertical="center" wrapText="1"/>
    </xf>
    <xf numFmtId="0" fontId="18" fillId="7" borderId="15" xfId="0" applyFont="1" applyFill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0" fillId="0" borderId="8" xfId="0" applyBorder="1" applyAlignment="1">
      <alignment horizontal="center"/>
    </xf>
    <xf numFmtId="0" fontId="0" fillId="0" borderId="10" xfId="0" applyBorder="1" applyAlignment="1">
      <alignment horizontal="center"/>
    </xf>
    <xf numFmtId="0" fontId="5" fillId="6" borderId="2" xfId="0" applyFont="1" applyFill="1" applyBorder="1" applyAlignment="1">
      <alignment horizontal="center" wrapText="1"/>
    </xf>
    <xf numFmtId="0" fontId="0" fillId="6" borderId="6" xfId="0" applyFill="1" applyBorder="1" applyAlignment="1">
      <alignment horizontal="center" wrapText="1"/>
    </xf>
    <xf numFmtId="0" fontId="0" fillId="6" borderId="3" xfId="0" applyFill="1" applyBorder="1" applyAlignment="1">
      <alignment horizontal="center" wrapText="1"/>
    </xf>
    <xf numFmtId="0" fontId="0" fillId="6" borderId="5" xfId="0" applyFill="1" applyBorder="1" applyAlignment="1">
      <alignment horizontal="center" wrapText="1"/>
    </xf>
    <xf numFmtId="0" fontId="5" fillId="5" borderId="2" xfId="0" applyFont="1" applyFill="1" applyBorder="1" applyAlignment="1">
      <alignment horizontal="center" vertical="center" wrapText="1"/>
    </xf>
    <xf numFmtId="0" fontId="5" fillId="5" borderId="6" xfId="0" applyFont="1" applyFill="1" applyBorder="1" applyAlignment="1">
      <alignment horizontal="center" vertical="center" wrapText="1"/>
    </xf>
    <xf numFmtId="0" fontId="5" fillId="5" borderId="3" xfId="0" applyFont="1" applyFill="1" applyBorder="1" applyAlignment="1">
      <alignment horizontal="center" vertical="center" wrapText="1"/>
    </xf>
    <xf numFmtId="0" fontId="5" fillId="5" borderId="5" xfId="0" applyFont="1" applyFill="1" applyBorder="1" applyAlignment="1">
      <alignment horizontal="center" vertical="center" wrapText="1"/>
    </xf>
    <xf numFmtId="0" fontId="5" fillId="6" borderId="2" xfId="0" applyFont="1" applyFill="1" applyBorder="1" applyAlignment="1">
      <alignment horizontal="center" vertical="center" wrapText="1"/>
    </xf>
    <xf numFmtId="0" fontId="0" fillId="6" borderId="6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5" xfId="0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5" fillId="4" borderId="12" xfId="0" applyFont="1" applyFill="1" applyBorder="1" applyAlignment="1">
      <alignment horizontal="center" vertical="center" wrapText="1"/>
    </xf>
    <xf numFmtId="0" fontId="5" fillId="4" borderId="11" xfId="0" applyFont="1" applyFill="1" applyBorder="1" applyAlignment="1">
      <alignment horizontal="center" vertical="center" wrapText="1"/>
    </xf>
    <xf numFmtId="0" fontId="9" fillId="3" borderId="0" xfId="0" applyFont="1" applyFill="1" applyBorder="1" applyAlignment="1">
      <alignment horizontal="left" vertical="center"/>
    </xf>
    <xf numFmtId="0" fontId="9" fillId="3" borderId="0" xfId="0" applyFont="1" applyFill="1" applyBorder="1" applyAlignment="1">
      <alignment horizontal="center"/>
    </xf>
    <xf numFmtId="0" fontId="26" fillId="3" borderId="0" xfId="0" applyFont="1" applyFill="1" applyBorder="1" applyAlignment="1">
      <alignment horizontal="center" vertical="center"/>
    </xf>
    <xf numFmtId="0" fontId="9" fillId="3" borderId="0" xfId="0" applyFont="1" applyFill="1" applyBorder="1" applyAlignment="1">
      <alignment horizontal="left"/>
    </xf>
    <xf numFmtId="0" fontId="9" fillId="3" borderId="8" xfId="0" applyFont="1" applyFill="1" applyBorder="1" applyAlignment="1">
      <alignment horizontal="right" vertical="center"/>
    </xf>
    <xf numFmtId="0" fontId="9" fillId="3" borderId="9" xfId="0" applyFont="1" applyFill="1" applyBorder="1" applyAlignment="1">
      <alignment horizontal="right" vertical="center"/>
    </xf>
    <xf numFmtId="0" fontId="9" fillId="3" borderId="10" xfId="0" applyFont="1" applyFill="1" applyBorder="1" applyAlignment="1">
      <alignment horizontal="right" vertical="center"/>
    </xf>
    <xf numFmtId="10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0" fontId="26" fillId="0" borderId="8" xfId="0" applyFont="1" applyBorder="1" applyAlignment="1">
      <alignment horizontal="right" vertical="center"/>
    </xf>
    <xf numFmtId="0" fontId="26" fillId="0" borderId="9" xfId="0" applyFont="1" applyBorder="1" applyAlignment="1">
      <alignment horizontal="right" vertical="center"/>
    </xf>
    <xf numFmtId="0" fontId="26" fillId="0" borderId="10" xfId="0" applyFont="1" applyBorder="1" applyAlignment="1">
      <alignment horizontal="right" vertical="center"/>
    </xf>
    <xf numFmtId="3" fontId="7" fillId="0" borderId="0" xfId="0" applyNumberFormat="1" applyFont="1" applyBorder="1" applyAlignment="1">
      <alignment horizontal="center" vertical="center" wrapText="1"/>
    </xf>
    <xf numFmtId="0" fontId="16" fillId="7" borderId="13" xfId="0" applyFont="1" applyFill="1" applyBorder="1" applyAlignment="1">
      <alignment horizontal="left" vertical="center" wrapText="1"/>
    </xf>
    <xf numFmtId="0" fontId="16" fillId="7" borderId="14" xfId="0" applyFont="1" applyFill="1" applyBorder="1" applyAlignment="1">
      <alignment horizontal="left" vertical="center" wrapText="1"/>
    </xf>
    <xf numFmtId="0" fontId="26" fillId="0" borderId="8" xfId="0" applyFont="1" applyBorder="1" applyAlignment="1">
      <alignment horizontal="center" vertical="center"/>
    </xf>
    <xf numFmtId="0" fontId="26" fillId="0" borderId="9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0" fontId="16" fillId="7" borderId="15" xfId="0" applyFont="1" applyFill="1" applyBorder="1" applyAlignment="1">
      <alignment horizontal="left" vertical="center" wrapText="1"/>
    </xf>
    <xf numFmtId="0" fontId="14" fillId="7" borderId="8" xfId="0" applyFont="1" applyFill="1" applyBorder="1" applyAlignment="1">
      <alignment horizontal="left" vertical="center" wrapText="1"/>
    </xf>
    <xf numFmtId="0" fontId="14" fillId="7" borderId="9" xfId="0" applyFont="1" applyFill="1" applyBorder="1" applyAlignment="1">
      <alignment horizontal="left" vertical="center" wrapText="1"/>
    </xf>
    <xf numFmtId="0" fontId="14" fillId="7" borderId="10" xfId="0" applyFont="1" applyFill="1" applyBorder="1" applyAlignment="1">
      <alignment horizontal="left" vertical="center" wrapText="1"/>
    </xf>
    <xf numFmtId="0" fontId="14" fillId="7" borderId="13" xfId="0" applyFont="1" applyFill="1" applyBorder="1" applyAlignment="1">
      <alignment horizontal="left" vertical="center" wrapText="1"/>
    </xf>
    <xf numFmtId="0" fontId="14" fillId="7" borderId="14" xfId="0" applyFont="1" applyFill="1" applyBorder="1" applyAlignment="1">
      <alignment horizontal="left" vertical="center" wrapText="1"/>
    </xf>
    <xf numFmtId="0" fontId="14" fillId="7" borderId="15" xfId="0" applyFont="1" applyFill="1" applyBorder="1" applyAlignment="1">
      <alignment horizontal="left" vertical="center" wrapText="1"/>
    </xf>
  </cellXfs>
  <cellStyles count="14">
    <cellStyle name="40% - Énfasis5 2" xfId="1"/>
    <cellStyle name="Euro" xfId="2"/>
    <cellStyle name="Euro 2" xfId="3"/>
    <cellStyle name="Millares 2" xfId="4"/>
    <cellStyle name="Millares 2 2" xfId="5"/>
    <cellStyle name="Millares 3" xfId="6"/>
    <cellStyle name="Millares 3 2" xfId="7"/>
    <cellStyle name="Normal" xfId="0" builtinId="0"/>
    <cellStyle name="Normal 2" xfId="8"/>
    <cellStyle name="Normal 2 2" xfId="9"/>
    <cellStyle name="Normal 2 2 2" xfId="10"/>
    <cellStyle name="Normal 3" xfId="11"/>
    <cellStyle name="Normal 4" xfId="12"/>
    <cellStyle name="TableStyleLight1" xfId="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externalLink" Target="externalLinks/externalLink10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externalLink" Target="externalLinks/externalLink9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externalLink" Target="externalLinks/externalLink8.xml"/><Relationship Id="rId5" Type="http://schemas.openxmlformats.org/officeDocument/2006/relationships/externalLink" Target="externalLinks/externalLink2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7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EJECUCION PLAN DE ACCION POR SUSBSISTEMAS A 30 DE SEPTIEMBRE DE 2016</a:t>
            </a:r>
          </a:p>
          <a:p>
            <a:pPr>
              <a:defRPr/>
            </a:pPr>
            <a:endParaRPr lang="es-CO"/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'P.ACCION SEPTIEMBRE CONSOLIDADO'!$DL$3</c:f>
              <c:strCache>
                <c:ptCount val="1"/>
                <c:pt idx="0">
                  <c:v>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0202020202020202E-3"/>
                  <c:y val="-2.4024020777940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3131313131313131E-2"/>
                  <c:y val="-2.40242910143947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0303030303030303E-3"/>
                  <c:y val="-1.71600148413860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0202020202020202E-3"/>
                  <c:y val="-2.05920178096632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0303030303030303E-3"/>
                  <c:y val="-3.08880267144949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'P.ACCION SEPTIEMBRE CONSOLIDADO'!$DJ$4:$DK$133</c:f>
              <c:strCache>
                <c:ptCount val="5"/>
                <c:pt idx="0">
                  <c:v>S. FORMACION</c:v>
                </c:pt>
                <c:pt idx="1">
                  <c:v>S. INVESTIGACION</c:v>
                </c:pt>
                <c:pt idx="2">
                  <c:v>S. PROYECCION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'P.ACCION SEPTIEMBRE CONSOLIDADO'!$DL$4:$DL$133</c:f>
              <c:numCache>
                <c:formatCode>#,##0</c:formatCode>
                <c:ptCount val="5"/>
                <c:pt idx="0">
                  <c:v>1457480977</c:v>
                </c:pt>
                <c:pt idx="1">
                  <c:v>5991897445</c:v>
                </c:pt>
                <c:pt idx="2">
                  <c:v>1760134547</c:v>
                </c:pt>
                <c:pt idx="3">
                  <c:v>2949123548</c:v>
                </c:pt>
                <c:pt idx="4">
                  <c:v>12803395182</c:v>
                </c:pt>
              </c:numCache>
            </c:numRef>
          </c:val>
        </c:ser>
        <c:ser>
          <c:idx val="1"/>
          <c:order val="1"/>
          <c:tx>
            <c:strRef>
              <c:f>'P.ACCION SEPTIEMBRE CONSOLIDADO'!$DM$3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5252525252525252E-2"/>
                  <c:y val="-2.05920178096632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8282828282828285E-2"/>
                  <c:y val="-1.71600148413860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4343434343434343E-2"/>
                  <c:y val="-1.71600148413860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3.5353535353535429E-2"/>
                  <c:y val="-3.08880267144949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3232323232323233E-2"/>
                  <c:y val="-2.05920178096632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'P.ACCION SEPTIEMBRE CONSOLIDADO'!$DJ$4:$DK$133</c:f>
              <c:strCache>
                <c:ptCount val="5"/>
                <c:pt idx="0">
                  <c:v>S. FORMACION</c:v>
                </c:pt>
                <c:pt idx="1">
                  <c:v>S. INVESTIGACION</c:v>
                </c:pt>
                <c:pt idx="2">
                  <c:v>S. PROYECCION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'P.ACCION SEPTIEMBRE CONSOLIDADO'!$DM$4:$DM$133</c:f>
              <c:numCache>
                <c:formatCode>#,##0</c:formatCode>
                <c:ptCount val="5"/>
                <c:pt idx="0">
                  <c:v>870645633</c:v>
                </c:pt>
                <c:pt idx="1">
                  <c:v>3782443603</c:v>
                </c:pt>
                <c:pt idx="2">
                  <c:v>1425141522</c:v>
                </c:pt>
                <c:pt idx="3">
                  <c:v>2332666658</c:v>
                </c:pt>
                <c:pt idx="4">
                  <c:v>5838715994</c:v>
                </c:pt>
              </c:numCache>
            </c:numRef>
          </c:val>
        </c:ser>
        <c:ser>
          <c:idx val="2"/>
          <c:order val="2"/>
          <c:tx>
            <c:strRef>
              <c:f>'P.ACCION SEPTIEMBRE CONSOLIDADO'!$DN$3</c:f>
              <c:strCache>
                <c:ptCount val="1"/>
                <c:pt idx="0">
                  <c:v>% EJECUCION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0202020202020204E-2"/>
                  <c:y val="6.864005936554425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111111111111111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616161616161616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8181818181818181E-2"/>
                  <c:y val="-3.432002968277212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6262626262626262E-2"/>
                  <c:y val="-6.864005936554425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'P.ACCION SEPTIEMBRE CONSOLIDADO'!$DJ$4:$DK$133</c:f>
              <c:strCache>
                <c:ptCount val="5"/>
                <c:pt idx="0">
                  <c:v>S. FORMACION</c:v>
                </c:pt>
                <c:pt idx="1">
                  <c:v>S. INVESTIGACION</c:v>
                </c:pt>
                <c:pt idx="2">
                  <c:v>S. PROYECCION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'P.ACCION SEPTIEMBRE CONSOLIDADO'!$DN$4:$DN$133</c:f>
              <c:numCache>
                <c:formatCode>0.00%</c:formatCode>
                <c:ptCount val="5"/>
                <c:pt idx="0">
                  <c:v>0.59736329100643903</c:v>
                </c:pt>
                <c:pt idx="1">
                  <c:v>0.63125973662254498</c:v>
                </c:pt>
                <c:pt idx="2">
                  <c:v>0.80967760358379015</c:v>
                </c:pt>
                <c:pt idx="3">
                  <c:v>0.79096945924220063</c:v>
                </c:pt>
                <c:pt idx="4">
                  <c:v>0.45602872605295486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51855744"/>
        <c:axId val="51857280"/>
        <c:axId val="0"/>
      </c:bar3DChart>
      <c:catAx>
        <c:axId val="51855744"/>
        <c:scaling>
          <c:orientation val="minMax"/>
        </c:scaling>
        <c:delete val="0"/>
        <c:axPos val="b"/>
        <c:majorGridlines/>
        <c:minorGridlines/>
        <c:majorTickMark val="none"/>
        <c:minorTickMark val="none"/>
        <c:tickLblPos val="nextTo"/>
        <c:crossAx val="51857280"/>
        <c:crosses val="autoZero"/>
        <c:auto val="1"/>
        <c:lblAlgn val="ctr"/>
        <c:lblOffset val="100"/>
        <c:noMultiLvlLbl val="0"/>
      </c:catAx>
      <c:valAx>
        <c:axId val="51857280"/>
        <c:scaling>
          <c:orientation val="minMax"/>
        </c:scaling>
        <c:delete val="1"/>
        <c:axPos val="l"/>
        <c:majorGridlines/>
        <c:numFmt formatCode="#,##0" sourceLinked="1"/>
        <c:majorTickMark val="none"/>
        <c:minorTickMark val="none"/>
        <c:tickLblPos val="nextTo"/>
        <c:crossAx val="51855744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EJECUCION</a:t>
            </a:r>
            <a:r>
              <a:rPr lang="es-CO" baseline="0"/>
              <a:t> PLAN DE ACCION A 30 DE SEPTIEMBRE POR RUBROS PRESUPUESTALES DE 2016</a:t>
            </a:r>
            <a:endParaRPr lang="es-CO"/>
          </a:p>
        </c:rich>
      </c:tx>
      <c:layout>
        <c:manualLayout>
          <c:xMode val="edge"/>
          <c:yMode val="edge"/>
          <c:x val="0.16090285542101801"/>
          <c:y val="2.3163225734526179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'P.ACCION SEPTIEMBRE CONSOLIDADO'!$DL$138</c:f>
              <c:strCache>
                <c:ptCount val="1"/>
                <c:pt idx="0">
                  <c:v>ASIGNADO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4.0281973816717019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114803625377647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'P.ACCION SEPTIEMBRE CONSOLIDADO'!$DJ$139:$DK$147</c:f>
              <c:strCache>
                <c:ptCount val="9"/>
                <c:pt idx="1">
                  <c:v>CONSTRUCCION</c:v>
                </c:pt>
                <c:pt idx="2">
                  <c:v>DOTACION</c:v>
                </c:pt>
                <c:pt idx="3">
                  <c:v>CAPACITACION</c:v>
                </c:pt>
                <c:pt idx="4">
                  <c:v>INVESTIGACIÓN</c:v>
                </c:pt>
                <c:pt idx="5">
                  <c:v>PLANEACION</c:v>
                </c:pt>
                <c:pt idx="6">
                  <c:v>EXTENSION </c:v>
                </c:pt>
                <c:pt idx="7">
                  <c:v>PROY. INSTITUCIONALES</c:v>
                </c:pt>
                <c:pt idx="8">
                  <c:v>B. UNIVERSITARIO</c:v>
                </c:pt>
              </c:strCache>
            </c:strRef>
          </c:cat>
          <c:val>
            <c:numRef>
              <c:f>'P.ACCION SEPTIEMBRE CONSOLIDADO'!$DL$139:$DL$147</c:f>
              <c:numCache>
                <c:formatCode>#,##0</c:formatCode>
                <c:ptCount val="9"/>
                <c:pt idx="1">
                  <c:v>4952937690</c:v>
                </c:pt>
                <c:pt idx="2">
                  <c:v>3987310612</c:v>
                </c:pt>
                <c:pt idx="3">
                  <c:v>1110346880</c:v>
                </c:pt>
                <c:pt idx="4">
                  <c:v>5991897445</c:v>
                </c:pt>
                <c:pt idx="5">
                  <c:v>1025280977</c:v>
                </c:pt>
                <c:pt idx="6">
                  <c:v>1760134547</c:v>
                </c:pt>
                <c:pt idx="7">
                  <c:v>3185000000</c:v>
                </c:pt>
                <c:pt idx="8">
                  <c:v>2949123548</c:v>
                </c:pt>
              </c:numCache>
            </c:numRef>
          </c:val>
        </c:ser>
        <c:ser>
          <c:idx val="1"/>
          <c:order val="1"/>
          <c:tx>
            <c:strRef>
              <c:f>'P.ACCION SEPTIEMBRE CONSOLIDADO'!$DM$138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2.6183282980866064E-2"/>
                  <c:y val="5.790806433631544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7190332326283987E-2"/>
                  <c:y val="-8.686209650447317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416918429003021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4169184290030211E-2"/>
                  <c:y val="-5.790806433631597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2.2155085599194286E-2"/>
                  <c:y val="5.790806433631544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3.021148036253776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2.3162134944612285E-2"/>
                  <c:y val="-2.895403216815772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3.1218529707955689E-2"/>
                  <c:y val="2.895403216815772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'P.ACCION SEPTIEMBRE CONSOLIDADO'!$DJ$139:$DK$147</c:f>
              <c:strCache>
                <c:ptCount val="9"/>
                <c:pt idx="1">
                  <c:v>CONSTRUCCION</c:v>
                </c:pt>
                <c:pt idx="2">
                  <c:v>DOTACION</c:v>
                </c:pt>
                <c:pt idx="3">
                  <c:v>CAPACITACION</c:v>
                </c:pt>
                <c:pt idx="4">
                  <c:v>INVESTIGACIÓN</c:v>
                </c:pt>
                <c:pt idx="5">
                  <c:v>PLANEACION</c:v>
                </c:pt>
                <c:pt idx="6">
                  <c:v>EXTENSION </c:v>
                </c:pt>
                <c:pt idx="7">
                  <c:v>PROY. INSTITUCIONALES</c:v>
                </c:pt>
                <c:pt idx="8">
                  <c:v>B. UNIVERSITARIO</c:v>
                </c:pt>
              </c:strCache>
            </c:strRef>
          </c:cat>
          <c:val>
            <c:numRef>
              <c:f>'P.ACCION SEPTIEMBRE CONSOLIDADO'!$DM$139:$DM$147</c:f>
              <c:numCache>
                <c:formatCode>#,##0</c:formatCode>
                <c:ptCount val="9"/>
                <c:pt idx="1">
                  <c:v>2527603512</c:v>
                </c:pt>
                <c:pt idx="2">
                  <c:v>1966467147</c:v>
                </c:pt>
                <c:pt idx="3">
                  <c:v>477335920</c:v>
                </c:pt>
                <c:pt idx="4">
                  <c:v>3782443603</c:v>
                </c:pt>
                <c:pt idx="5">
                  <c:v>856988962</c:v>
                </c:pt>
                <c:pt idx="6">
                  <c:v>1425141522</c:v>
                </c:pt>
                <c:pt idx="7">
                  <c:v>880966086</c:v>
                </c:pt>
                <c:pt idx="8">
                  <c:v>2332666658</c:v>
                </c:pt>
              </c:numCache>
            </c:numRef>
          </c:val>
        </c:ser>
        <c:ser>
          <c:idx val="2"/>
          <c:order val="2"/>
          <c:tx>
            <c:strRef>
              <c:f>'P.ACCION SEPTIEMBRE CONSOLIDADO'!$DN$138</c:f>
              <c:strCache>
                <c:ptCount val="1"/>
                <c:pt idx="0">
                  <c:v>% EJECUCION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1.4098690835850957E-2"/>
                  <c:y val="-1.0616355820609463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4098690835850957E-2"/>
                  <c:y val="-1.0616355820609463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5105740181268883E-2"/>
                  <c:y val="-1.0616355820609463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2084592145015106E-2"/>
                  <c:y val="-1.0616355820609463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1.6112789526686808E-2"/>
                  <c:y val="-2.895403216815878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1.7119838872104734E-2"/>
                  <c:y val="-1.0616355820609463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1.4098690835850957E-2"/>
                  <c:y val="-1.0616355820609463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1.6112789526686808E-2"/>
                  <c:y val="-2.895403216815878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'P.ACCION SEPTIEMBRE CONSOLIDADO'!$DJ$139:$DK$147</c:f>
              <c:strCache>
                <c:ptCount val="9"/>
                <c:pt idx="1">
                  <c:v>CONSTRUCCION</c:v>
                </c:pt>
                <c:pt idx="2">
                  <c:v>DOTACION</c:v>
                </c:pt>
                <c:pt idx="3">
                  <c:v>CAPACITACION</c:v>
                </c:pt>
                <c:pt idx="4">
                  <c:v>INVESTIGACIÓN</c:v>
                </c:pt>
                <c:pt idx="5">
                  <c:v>PLANEACION</c:v>
                </c:pt>
                <c:pt idx="6">
                  <c:v>EXTENSION </c:v>
                </c:pt>
                <c:pt idx="7">
                  <c:v>PROY. INSTITUCIONALES</c:v>
                </c:pt>
                <c:pt idx="8">
                  <c:v>B. UNIVERSITARIO</c:v>
                </c:pt>
              </c:strCache>
            </c:strRef>
          </c:cat>
          <c:val>
            <c:numRef>
              <c:f>'P.ACCION SEPTIEMBRE CONSOLIDADO'!$DN$139:$DN$147</c:f>
              <c:numCache>
                <c:formatCode>0.00%</c:formatCode>
                <c:ptCount val="9"/>
                <c:pt idx="1">
                  <c:v>0.51032410868064038</c:v>
                </c:pt>
                <c:pt idx="2">
                  <c:v>0.49318132905969853</c:v>
                </c:pt>
                <c:pt idx="3">
                  <c:v>0.42989801529410343</c:v>
                </c:pt>
                <c:pt idx="4">
                  <c:v>0.63125973662254498</c:v>
                </c:pt>
                <c:pt idx="5">
                  <c:v>0.83585766363048397</c:v>
                </c:pt>
                <c:pt idx="6">
                  <c:v>0.80967760358379015</c:v>
                </c:pt>
                <c:pt idx="7">
                  <c:v>0.27659845714285713</c:v>
                </c:pt>
                <c:pt idx="8">
                  <c:v>0.79096945924220063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52384896"/>
        <c:axId val="52386432"/>
        <c:axId val="0"/>
      </c:bar3DChart>
      <c:catAx>
        <c:axId val="52384896"/>
        <c:scaling>
          <c:orientation val="minMax"/>
        </c:scaling>
        <c:delete val="0"/>
        <c:axPos val="b"/>
        <c:majorGridlines/>
        <c:majorTickMark val="none"/>
        <c:minorTickMark val="none"/>
        <c:tickLblPos val="nextTo"/>
        <c:crossAx val="52386432"/>
        <c:crosses val="autoZero"/>
        <c:auto val="1"/>
        <c:lblAlgn val="ctr"/>
        <c:lblOffset val="100"/>
        <c:noMultiLvlLbl val="0"/>
      </c:catAx>
      <c:valAx>
        <c:axId val="52386432"/>
        <c:scaling>
          <c:orientation val="minMax"/>
        </c:scaling>
        <c:delete val="1"/>
        <c:axPos val="l"/>
        <c:majorGridlines/>
        <c:numFmt formatCode="#,##0" sourceLinked="1"/>
        <c:majorTickMark val="out"/>
        <c:minorTickMark val="none"/>
        <c:tickLblPos val="nextTo"/>
        <c:crossAx val="52384896"/>
        <c:crosses val="autoZero"/>
        <c:crossBetween val="between"/>
      </c:valAx>
    </c:plotArea>
    <c:legend>
      <c:legendPos val="t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352425</xdr:colOff>
      <xdr:row>158</xdr:row>
      <xdr:rowOff>90486</xdr:rowOff>
    </xdr:from>
    <xdr:to>
      <xdr:col>113</xdr:col>
      <xdr:colOff>581025</xdr:colOff>
      <xdr:row>177</xdr:row>
      <xdr:rowOff>171449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228600</xdr:colOff>
      <xdr:row>181</xdr:row>
      <xdr:rowOff>80961</xdr:rowOff>
    </xdr:from>
    <xdr:to>
      <xdr:col>113</xdr:col>
      <xdr:colOff>495300</xdr:colOff>
      <xdr:row>204</xdr:row>
      <xdr:rowOff>85724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ANTEPROYECTO%20PRESUPUESTO%202016/INFORME%20PRESUPUESTAL%202016/SEPTIEMBRE%202016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Copia%20de%20MARZO-2%202016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ANTEPROYECTO%20PRESUPUESTO%202016\INFORME%20PRESUPUESTAL%202016\ENERO%202016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ANTEPROYECTO%20PRESUPUESTO%202016/INFORME%20PRESUPUESTAL%202016/FEBRERO%202016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ANTEPROYECTO%20PRESUPUESTO%202016/INFORME%20PRESUPUESTAL%202016/AGOSTO%202016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ANTEPROYECTO%20PRESUPUESTO%202016/INFORME%20PRESUPUESTAL%202016/JULIO%202016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ANTEPROYECTO%20PRESUPUESTO%202016/INFORME%20PRESUPUESTAL%202016/JUNIO%202016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ANTEPROYECTO%20PRESUPUESTO%202016/INFORME%20PRESUPUESTAL%202016/MAYO%202016-1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ANTEPROYECTO%20PRESUPUESTO%202016/INFORME%20PRESUPUESTAL%202016/ABRIL%202016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ANTEPROYECTO%20PRESUPUESTO%202016/INFORME%20PRESUPUESTAL%202016/MARZO%20201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PTIEMBRE 2016"/>
    </sheetNames>
    <sheetDataSet>
      <sheetData sheetId="0">
        <row r="9">
          <cell r="G9">
            <v>18933220687</v>
          </cell>
        </row>
        <row r="18">
          <cell r="M18">
            <v>1326262451</v>
          </cell>
        </row>
        <row r="35">
          <cell r="M35">
            <v>1018550836</v>
          </cell>
          <cell r="N35">
            <v>37587370</v>
          </cell>
          <cell r="T35">
            <v>300000</v>
          </cell>
          <cell r="AG35">
            <v>23877661</v>
          </cell>
        </row>
        <row r="36">
          <cell r="H36">
            <v>86271560</v>
          </cell>
        </row>
        <row r="40">
          <cell r="H40">
            <v>21445252</v>
          </cell>
        </row>
        <row r="42">
          <cell r="H42">
            <v>50290520</v>
          </cell>
        </row>
        <row r="45">
          <cell r="H45">
            <v>9145660</v>
          </cell>
        </row>
        <row r="47">
          <cell r="H47">
            <v>75866675</v>
          </cell>
        </row>
        <row r="50">
          <cell r="H50">
            <v>19621130</v>
          </cell>
        </row>
        <row r="52">
          <cell r="H52">
            <v>92605321</v>
          </cell>
        </row>
        <row r="54">
          <cell r="H54">
            <v>33395815</v>
          </cell>
        </row>
        <row r="56">
          <cell r="H56">
            <v>10064700</v>
          </cell>
        </row>
        <row r="58">
          <cell r="H58">
            <v>2338000</v>
          </cell>
        </row>
        <row r="60">
          <cell r="H60">
            <v>138162268</v>
          </cell>
        </row>
        <row r="62">
          <cell r="H62">
            <v>30710300</v>
          </cell>
        </row>
        <row r="64">
          <cell r="H64">
            <v>392000</v>
          </cell>
        </row>
        <row r="65">
          <cell r="H65">
            <v>5970000</v>
          </cell>
        </row>
        <row r="67">
          <cell r="H67">
            <v>135701673</v>
          </cell>
        </row>
        <row r="69">
          <cell r="H69">
            <v>717100</v>
          </cell>
        </row>
        <row r="71">
          <cell r="H71">
            <v>189004252</v>
          </cell>
        </row>
        <row r="73">
          <cell r="H73">
            <v>2581000</v>
          </cell>
        </row>
        <row r="75">
          <cell r="M75">
            <v>39446138</v>
          </cell>
          <cell r="N75">
            <v>6877070</v>
          </cell>
        </row>
        <row r="77">
          <cell r="H77">
            <v>39871320</v>
          </cell>
        </row>
        <row r="80">
          <cell r="H80">
            <v>799001</v>
          </cell>
        </row>
        <row r="81">
          <cell r="H81">
            <v>196450</v>
          </cell>
        </row>
        <row r="83">
          <cell r="H83">
            <v>13230298</v>
          </cell>
        </row>
        <row r="85">
          <cell r="H85">
            <v>300000</v>
          </cell>
        </row>
        <row r="86">
          <cell r="H86">
            <v>4579735</v>
          </cell>
        </row>
        <row r="92">
          <cell r="N92">
            <v>110222040</v>
          </cell>
        </row>
        <row r="93">
          <cell r="H93">
            <v>2900000</v>
          </cell>
        </row>
        <row r="97">
          <cell r="H97">
            <v>11738040</v>
          </cell>
        </row>
        <row r="99">
          <cell r="H99">
            <v>95583992</v>
          </cell>
        </row>
        <row r="110">
          <cell r="M110">
            <v>1225205791</v>
          </cell>
        </row>
        <row r="111">
          <cell r="H111">
            <v>299045680</v>
          </cell>
        </row>
        <row r="113">
          <cell r="H113">
            <v>35256150</v>
          </cell>
        </row>
        <row r="115">
          <cell r="H115">
            <v>58826936</v>
          </cell>
        </row>
        <row r="120">
          <cell r="H120">
            <v>88746867</v>
          </cell>
        </row>
        <row r="122">
          <cell r="H122">
            <v>63336000</v>
          </cell>
        </row>
        <row r="124">
          <cell r="H124">
            <v>2780000</v>
          </cell>
        </row>
        <row r="126">
          <cell r="H126">
            <v>1183200</v>
          </cell>
        </row>
        <row r="127">
          <cell r="H127">
            <v>83930524</v>
          </cell>
        </row>
        <row r="133">
          <cell r="H133">
            <v>20532000</v>
          </cell>
        </row>
        <row r="137">
          <cell r="H137">
            <v>90542640</v>
          </cell>
        </row>
        <row r="139">
          <cell r="H139">
            <v>4605084</v>
          </cell>
        </row>
        <row r="141">
          <cell r="H141">
            <v>37459764</v>
          </cell>
        </row>
        <row r="143">
          <cell r="H143">
            <v>17734580</v>
          </cell>
        </row>
        <row r="145">
          <cell r="H145">
            <v>3178284</v>
          </cell>
        </row>
        <row r="147">
          <cell r="H147">
            <v>18852781</v>
          </cell>
        </row>
        <row r="149">
          <cell r="H149">
            <v>80795616</v>
          </cell>
        </row>
        <row r="153">
          <cell r="H153">
            <v>30613440</v>
          </cell>
        </row>
        <row r="155">
          <cell r="H155">
            <v>1930216</v>
          </cell>
        </row>
        <row r="157">
          <cell r="H157">
            <v>17170436</v>
          </cell>
        </row>
        <row r="159">
          <cell r="H159">
            <v>2424400</v>
          </cell>
        </row>
        <row r="161">
          <cell r="H161">
            <v>4060000</v>
          </cell>
        </row>
        <row r="166">
          <cell r="M166">
            <v>183524217</v>
          </cell>
          <cell r="AG166">
            <v>12676480</v>
          </cell>
        </row>
        <row r="167">
          <cell r="H167">
            <v>46638552</v>
          </cell>
        </row>
        <row r="176">
          <cell r="H176">
            <v>9767200</v>
          </cell>
        </row>
        <row r="178">
          <cell r="H178">
            <v>9860000</v>
          </cell>
        </row>
        <row r="179">
          <cell r="H179">
            <v>34631160</v>
          </cell>
        </row>
        <row r="181">
          <cell r="H181">
            <v>14778400</v>
          </cell>
        </row>
        <row r="184">
          <cell r="H184">
            <v>9655985</v>
          </cell>
        </row>
        <row r="187">
          <cell r="H187">
            <v>7442560</v>
          </cell>
        </row>
        <row r="189">
          <cell r="H189">
            <v>24972480</v>
          </cell>
        </row>
        <row r="191">
          <cell r="H191">
            <v>25731120</v>
          </cell>
        </row>
        <row r="202">
          <cell r="M202">
            <v>297552303</v>
          </cell>
          <cell r="AG202">
            <v>13000000</v>
          </cell>
        </row>
        <row r="203">
          <cell r="H203">
            <v>100166000</v>
          </cell>
        </row>
        <row r="206">
          <cell r="H206">
            <v>3752832</v>
          </cell>
        </row>
        <row r="209">
          <cell r="H209">
            <v>13000000</v>
          </cell>
        </row>
        <row r="216">
          <cell r="M216">
            <v>299974318</v>
          </cell>
          <cell r="AG216">
            <v>88094865</v>
          </cell>
        </row>
        <row r="219">
          <cell r="H219">
            <v>17103000</v>
          </cell>
        </row>
        <row r="221">
          <cell r="H221">
            <v>7221000</v>
          </cell>
        </row>
        <row r="223">
          <cell r="H223">
            <v>12000000</v>
          </cell>
        </row>
        <row r="225">
          <cell r="H225">
            <v>8000000</v>
          </cell>
        </row>
        <row r="227">
          <cell r="H227">
            <v>2210000</v>
          </cell>
        </row>
        <row r="229">
          <cell r="H229">
            <v>35541154</v>
          </cell>
        </row>
        <row r="232">
          <cell r="H232">
            <v>5997020</v>
          </cell>
        </row>
        <row r="234">
          <cell r="H234">
            <v>2342156</v>
          </cell>
        </row>
        <row r="236">
          <cell r="H236">
            <v>9000000</v>
          </cell>
        </row>
        <row r="237">
          <cell r="H237">
            <v>13020000</v>
          </cell>
        </row>
        <row r="238">
          <cell r="H238">
            <v>1040000</v>
          </cell>
        </row>
        <row r="239">
          <cell r="H239">
            <v>2499841</v>
          </cell>
        </row>
        <row r="240">
          <cell r="H240">
            <v>2349998</v>
          </cell>
        </row>
        <row r="241">
          <cell r="H241">
            <v>800000</v>
          </cell>
        </row>
        <row r="243">
          <cell r="H243">
            <v>4969822</v>
          </cell>
        </row>
        <row r="245">
          <cell r="H245">
            <v>7995000</v>
          </cell>
        </row>
        <row r="247">
          <cell r="H247">
            <v>2483950</v>
          </cell>
        </row>
        <row r="249">
          <cell r="H249">
            <v>3580000</v>
          </cell>
        </row>
        <row r="251">
          <cell r="H251">
            <v>2836200</v>
          </cell>
        </row>
        <row r="253">
          <cell r="H253">
            <v>1543376</v>
          </cell>
        </row>
        <row r="255">
          <cell r="H255">
            <v>9759624</v>
          </cell>
        </row>
        <row r="271">
          <cell r="G271">
            <v>8998780</v>
          </cell>
          <cell r="H271">
            <v>8979798</v>
          </cell>
        </row>
        <row r="284">
          <cell r="G284">
            <v>4249345</v>
          </cell>
          <cell r="H284">
            <v>4249345</v>
          </cell>
        </row>
        <row r="294">
          <cell r="H294">
            <v>251063329</v>
          </cell>
        </row>
        <row r="296">
          <cell r="M296">
            <v>251063329</v>
          </cell>
        </row>
        <row r="364">
          <cell r="H364">
            <v>116676894</v>
          </cell>
          <cell r="M364">
            <v>6621400</v>
          </cell>
        </row>
        <row r="389">
          <cell r="H389">
            <v>237703177</v>
          </cell>
        </row>
        <row r="391">
          <cell r="M391">
            <v>110550306</v>
          </cell>
          <cell r="AG391">
            <v>33278610</v>
          </cell>
        </row>
        <row r="460">
          <cell r="H460">
            <v>2183738</v>
          </cell>
        </row>
        <row r="486">
          <cell r="G486">
            <v>1652640</v>
          </cell>
        </row>
        <row r="490">
          <cell r="G490">
            <v>500000</v>
          </cell>
        </row>
        <row r="493">
          <cell r="H493">
            <v>1740000</v>
          </cell>
        </row>
        <row r="501">
          <cell r="H501">
            <v>963495</v>
          </cell>
        </row>
        <row r="509">
          <cell r="H509">
            <v>919964</v>
          </cell>
        </row>
        <row r="511">
          <cell r="H511">
            <v>2595000</v>
          </cell>
        </row>
        <row r="518">
          <cell r="H518">
            <v>889800</v>
          </cell>
        </row>
        <row r="519">
          <cell r="H519">
            <v>2640000</v>
          </cell>
        </row>
        <row r="524">
          <cell r="H524">
            <v>889800</v>
          </cell>
        </row>
        <row r="542">
          <cell r="H542">
            <v>437500</v>
          </cell>
        </row>
        <row r="544">
          <cell r="H544">
            <v>1288341</v>
          </cell>
        </row>
        <row r="545">
          <cell r="H545">
            <v>1280068</v>
          </cell>
        </row>
        <row r="558">
          <cell r="H558">
            <v>916000</v>
          </cell>
        </row>
        <row r="573">
          <cell r="H573">
            <v>1113837</v>
          </cell>
        </row>
        <row r="582">
          <cell r="G582">
            <v>1221000</v>
          </cell>
        </row>
        <row r="584">
          <cell r="G584">
            <v>2604504</v>
          </cell>
        </row>
        <row r="590">
          <cell r="G590">
            <v>1397000</v>
          </cell>
        </row>
        <row r="591">
          <cell r="G591">
            <v>1397000</v>
          </cell>
        </row>
        <row r="599">
          <cell r="H599">
            <v>1139000</v>
          </cell>
        </row>
        <row r="600">
          <cell r="H600">
            <v>1769000</v>
          </cell>
        </row>
        <row r="603">
          <cell r="H603">
            <v>735236</v>
          </cell>
        </row>
        <row r="616">
          <cell r="G616">
            <v>1200000</v>
          </cell>
        </row>
        <row r="618">
          <cell r="G618">
            <v>500000</v>
          </cell>
        </row>
        <row r="619">
          <cell r="G619">
            <v>200000</v>
          </cell>
        </row>
        <row r="622">
          <cell r="G622">
            <v>103825</v>
          </cell>
        </row>
        <row r="629">
          <cell r="H629">
            <v>508698</v>
          </cell>
        </row>
        <row r="656">
          <cell r="H656">
            <v>7762340</v>
          </cell>
        </row>
        <row r="658">
          <cell r="M658">
            <v>35762340</v>
          </cell>
        </row>
        <row r="680">
          <cell r="H680">
            <v>20000000</v>
          </cell>
        </row>
        <row r="684">
          <cell r="H684">
            <v>625295</v>
          </cell>
        </row>
        <row r="686">
          <cell r="H686">
            <v>10000000</v>
          </cell>
        </row>
        <row r="688">
          <cell r="H688">
            <v>1226674</v>
          </cell>
        </row>
        <row r="689">
          <cell r="H689">
            <v>51992395</v>
          </cell>
        </row>
        <row r="735">
          <cell r="H735">
            <v>932869</v>
          </cell>
        </row>
        <row r="736">
          <cell r="H736">
            <v>631544</v>
          </cell>
        </row>
        <row r="739">
          <cell r="H739">
            <v>586705</v>
          </cell>
        </row>
        <row r="740">
          <cell r="H740">
            <v>2827985</v>
          </cell>
        </row>
        <row r="747">
          <cell r="H747">
            <v>709787</v>
          </cell>
        </row>
        <row r="748">
          <cell r="H748">
            <v>480817</v>
          </cell>
        </row>
        <row r="759">
          <cell r="H759">
            <v>31527484</v>
          </cell>
        </row>
        <row r="815">
          <cell r="H815">
            <v>25599826</v>
          </cell>
        </row>
        <row r="817">
          <cell r="AG817">
            <v>24600826</v>
          </cell>
        </row>
        <row r="856">
          <cell r="Y856">
            <v>53185104</v>
          </cell>
        </row>
        <row r="857">
          <cell r="H857">
            <v>58358466</v>
          </cell>
        </row>
        <row r="879">
          <cell r="H879">
            <v>30040000</v>
          </cell>
        </row>
        <row r="890">
          <cell r="H890">
            <v>20596275</v>
          </cell>
        </row>
        <row r="900">
          <cell r="H900">
            <v>342904219</v>
          </cell>
        </row>
        <row r="902">
          <cell r="Y902">
            <v>49883210</v>
          </cell>
          <cell r="Z902">
            <v>340453000</v>
          </cell>
        </row>
        <row r="958">
          <cell r="Y958">
            <v>64874</v>
          </cell>
        </row>
        <row r="961">
          <cell r="H961">
            <v>5818560</v>
          </cell>
        </row>
        <row r="962">
          <cell r="H962">
            <v>5818560</v>
          </cell>
        </row>
        <row r="971">
          <cell r="H971">
            <v>208663847</v>
          </cell>
        </row>
        <row r="973">
          <cell r="Z973">
            <v>250489382</v>
          </cell>
        </row>
        <row r="991">
          <cell r="H991">
            <v>700000</v>
          </cell>
        </row>
        <row r="992">
          <cell r="H992">
            <v>2000000</v>
          </cell>
        </row>
        <row r="1001">
          <cell r="H1001">
            <v>1000000</v>
          </cell>
        </row>
        <row r="1011">
          <cell r="H1011">
            <v>906480</v>
          </cell>
        </row>
        <row r="1025">
          <cell r="H1025">
            <v>1425485</v>
          </cell>
        </row>
        <row r="1045">
          <cell r="K1045">
            <v>198408143</v>
          </cell>
          <cell r="Z1045">
            <v>145537257</v>
          </cell>
        </row>
        <row r="1057">
          <cell r="H1057">
            <v>102551657</v>
          </cell>
        </row>
        <row r="1060">
          <cell r="H1060">
            <v>11200000</v>
          </cell>
        </row>
        <row r="1062">
          <cell r="H1062">
            <v>31785600</v>
          </cell>
        </row>
        <row r="1073">
          <cell r="H1073">
            <v>97925451</v>
          </cell>
        </row>
        <row r="1152">
          <cell r="M1152">
            <v>3600000</v>
          </cell>
        </row>
        <row r="1163">
          <cell r="H1163">
            <v>449538252</v>
          </cell>
        </row>
        <row r="1180">
          <cell r="H1180">
            <v>148887518</v>
          </cell>
        </row>
        <row r="1182">
          <cell r="M1182">
            <v>149681028</v>
          </cell>
        </row>
        <row r="1196">
          <cell r="H1196">
            <v>304251260</v>
          </cell>
        </row>
        <row r="1198">
          <cell r="M1198">
            <v>868325162</v>
          </cell>
          <cell r="AG1198">
            <v>7500000</v>
          </cell>
        </row>
        <row r="1255">
          <cell r="H1255">
            <v>29250000</v>
          </cell>
        </row>
        <row r="1257">
          <cell r="M1257">
            <v>29250000</v>
          </cell>
        </row>
        <row r="1267">
          <cell r="M1267">
            <v>4046880</v>
          </cell>
        </row>
        <row r="1291">
          <cell r="H1291">
            <v>21620000</v>
          </cell>
        </row>
        <row r="1305">
          <cell r="V1305">
            <v>5611743</v>
          </cell>
          <cell r="Y1305">
            <v>99252111</v>
          </cell>
        </row>
        <row r="1361">
          <cell r="H1361">
            <v>85333279</v>
          </cell>
        </row>
        <row r="1363">
          <cell r="Y1363">
            <v>85333279</v>
          </cell>
        </row>
        <row r="1388">
          <cell r="H1388">
            <v>11999998</v>
          </cell>
        </row>
        <row r="1406">
          <cell r="AG1406">
            <v>4061981</v>
          </cell>
        </row>
        <row r="1416">
          <cell r="H1416">
            <v>53741061</v>
          </cell>
        </row>
        <row r="1432">
          <cell r="H1432">
            <v>40869452</v>
          </cell>
        </row>
        <row r="1446">
          <cell r="H1446">
            <v>5529750</v>
          </cell>
        </row>
        <row r="1449">
          <cell r="H1449">
            <v>3786950</v>
          </cell>
        </row>
        <row r="1452">
          <cell r="H1452">
            <v>2080680</v>
          </cell>
        </row>
        <row r="1456">
          <cell r="H1456">
            <v>30755089</v>
          </cell>
        </row>
        <row r="1458">
          <cell r="Y1458">
            <v>30823477</v>
          </cell>
        </row>
        <row r="1495">
          <cell r="H1495">
            <v>24875928</v>
          </cell>
        </row>
        <row r="1497">
          <cell r="Y1497">
            <v>26903387</v>
          </cell>
        </row>
        <row r="1539">
          <cell r="H1539">
            <v>28956340</v>
          </cell>
        </row>
        <row r="1575">
          <cell r="H1575">
            <v>197519571</v>
          </cell>
        </row>
        <row r="1577">
          <cell r="W1577">
            <v>212049571</v>
          </cell>
        </row>
        <row r="1671">
          <cell r="H1671">
            <v>112009614</v>
          </cell>
        </row>
        <row r="1673">
          <cell r="Y1673">
            <v>89537065</v>
          </cell>
          <cell r="AG1673">
            <v>22317923</v>
          </cell>
        </row>
        <row r="1676">
          <cell r="H1676">
            <v>1922074</v>
          </cell>
        </row>
        <row r="1689">
          <cell r="H1689">
            <v>2600000</v>
          </cell>
        </row>
        <row r="1691">
          <cell r="H1691">
            <v>2984657</v>
          </cell>
        </row>
        <row r="1692">
          <cell r="H1692">
            <v>3448100</v>
          </cell>
        </row>
        <row r="1694">
          <cell r="H1694">
            <v>700000</v>
          </cell>
        </row>
        <row r="1703">
          <cell r="H1703">
            <v>380000</v>
          </cell>
        </row>
        <row r="1712">
          <cell r="H1712">
            <v>2859983</v>
          </cell>
        </row>
        <row r="1715">
          <cell r="H1715">
            <v>219997</v>
          </cell>
        </row>
        <row r="1720">
          <cell r="H1720">
            <v>2895698</v>
          </cell>
        </row>
        <row r="1721">
          <cell r="H1721">
            <v>1748000</v>
          </cell>
        </row>
        <row r="1723">
          <cell r="H1723">
            <v>220000</v>
          </cell>
        </row>
        <row r="1726">
          <cell r="H1726">
            <v>1520698</v>
          </cell>
        </row>
        <row r="1737">
          <cell r="H1737">
            <v>217953</v>
          </cell>
        </row>
        <row r="1738">
          <cell r="H1738">
            <v>191395</v>
          </cell>
        </row>
        <row r="1739">
          <cell r="H1739">
            <v>217953</v>
          </cell>
        </row>
        <row r="1740">
          <cell r="H1740">
            <v>191395</v>
          </cell>
        </row>
        <row r="1763">
          <cell r="H1763">
            <v>1197148012</v>
          </cell>
        </row>
        <row r="1765">
          <cell r="V1765">
            <v>1782267934</v>
          </cell>
        </row>
        <row r="2282">
          <cell r="H2282">
            <v>71113871</v>
          </cell>
        </row>
        <row r="2284">
          <cell r="Y2284">
            <v>89912518</v>
          </cell>
        </row>
        <row r="2326">
          <cell r="Y2326">
            <v>9996834</v>
          </cell>
        </row>
        <row r="2332">
          <cell r="Y2332">
            <v>19997612</v>
          </cell>
        </row>
        <row r="2338">
          <cell r="Y2338">
            <v>10000000</v>
          </cell>
        </row>
        <row r="2368">
          <cell r="H2368">
            <v>75271258</v>
          </cell>
        </row>
        <row r="2370">
          <cell r="Y2370">
            <v>68089300</v>
          </cell>
        </row>
        <row r="2382">
          <cell r="H2382">
            <v>9219791</v>
          </cell>
        </row>
        <row r="2390">
          <cell r="H2390">
            <v>4365904</v>
          </cell>
        </row>
        <row r="2392">
          <cell r="AG2392">
            <v>4365904</v>
          </cell>
        </row>
        <row r="2407">
          <cell r="H2407">
            <v>2000000</v>
          </cell>
        </row>
        <row r="2409">
          <cell r="H2409">
            <v>29940272</v>
          </cell>
        </row>
        <row r="2462">
          <cell r="H2462">
            <v>2000000</v>
          </cell>
        </row>
        <row r="2464">
          <cell r="H2464">
            <v>5000000</v>
          </cell>
        </row>
        <row r="2466">
          <cell r="H2466">
            <v>3000000</v>
          </cell>
        </row>
        <row r="2481">
          <cell r="H2481">
            <v>11715660</v>
          </cell>
        </row>
        <row r="2556">
          <cell r="H2556">
            <v>57719737</v>
          </cell>
        </row>
        <row r="2558">
          <cell r="M2558">
            <v>21330100</v>
          </cell>
        </row>
        <row r="2573">
          <cell r="H2573">
            <v>34400000</v>
          </cell>
        </row>
        <row r="2578">
          <cell r="H2578">
            <v>1100000</v>
          </cell>
        </row>
        <row r="2580">
          <cell r="H2580">
            <v>1686900</v>
          </cell>
        </row>
        <row r="2588">
          <cell r="H2588">
            <v>5780209</v>
          </cell>
        </row>
        <row r="2591">
          <cell r="H2591">
            <v>872600</v>
          </cell>
        </row>
        <row r="2606">
          <cell r="H2606">
            <v>23349684</v>
          </cell>
        </row>
        <row r="2625">
          <cell r="H2625">
            <v>41799998</v>
          </cell>
        </row>
        <row r="2627">
          <cell r="O2627">
            <v>40500000</v>
          </cell>
          <cell r="AG2627">
            <v>5801565</v>
          </cell>
        </row>
        <row r="2628">
          <cell r="H2628">
            <v>21089997</v>
          </cell>
        </row>
        <row r="2634">
          <cell r="H2634">
            <v>14910001</v>
          </cell>
        </row>
        <row r="2646">
          <cell r="H2646">
            <v>18309455</v>
          </cell>
        </row>
        <row r="2648">
          <cell r="O2648">
            <v>19849455</v>
          </cell>
        </row>
        <row r="2658">
          <cell r="H2658">
            <v>12788968</v>
          </cell>
        </row>
        <row r="2660">
          <cell r="AG2660">
            <v>13876315</v>
          </cell>
        </row>
        <row r="2674">
          <cell r="H2674">
            <v>239808165</v>
          </cell>
        </row>
        <row r="2676">
          <cell r="AG2676">
            <v>74264550</v>
          </cell>
        </row>
        <row r="2685">
          <cell r="H2685">
            <v>13000000</v>
          </cell>
        </row>
        <row r="2693">
          <cell r="H2693">
            <v>9557058</v>
          </cell>
        </row>
        <row r="2696">
          <cell r="H2696">
            <v>2600000</v>
          </cell>
        </row>
        <row r="2699">
          <cell r="H2699">
            <v>325253</v>
          </cell>
        </row>
        <row r="2703">
          <cell r="H2703">
            <v>4800000</v>
          </cell>
        </row>
        <row r="2705">
          <cell r="H2705">
            <v>3600000</v>
          </cell>
        </row>
        <row r="2707">
          <cell r="H2707">
            <v>196751</v>
          </cell>
        </row>
        <row r="2727">
          <cell r="H2727">
            <v>634000</v>
          </cell>
        </row>
        <row r="2728">
          <cell r="H2728">
            <v>6090000</v>
          </cell>
        </row>
        <row r="2736">
          <cell r="H2736">
            <v>2985000</v>
          </cell>
        </row>
        <row r="2740">
          <cell r="H2740">
            <v>730000</v>
          </cell>
        </row>
        <row r="2741">
          <cell r="H2741">
            <v>15000000</v>
          </cell>
        </row>
        <row r="2743">
          <cell r="H2743">
            <v>10000000</v>
          </cell>
        </row>
        <row r="2757">
          <cell r="H2757">
            <v>4500000</v>
          </cell>
        </row>
        <row r="2761">
          <cell r="H2761">
            <v>54825797</v>
          </cell>
        </row>
        <row r="2843">
          <cell r="H2843">
            <v>12488003</v>
          </cell>
        </row>
        <row r="2845">
          <cell r="H2845">
            <v>3127360</v>
          </cell>
        </row>
        <row r="2847">
          <cell r="H2847">
            <v>3442880</v>
          </cell>
        </row>
        <row r="2849">
          <cell r="H2849">
            <v>8000000</v>
          </cell>
        </row>
        <row r="2854">
          <cell r="H2854">
            <v>1505280</v>
          </cell>
        </row>
        <row r="2857">
          <cell r="H2857">
            <v>7166667</v>
          </cell>
        </row>
        <row r="2860">
          <cell r="H2860">
            <v>7712998</v>
          </cell>
        </row>
        <row r="2892">
          <cell r="O2892">
            <v>105500000</v>
          </cell>
        </row>
        <row r="2935">
          <cell r="H2935">
            <v>107500212</v>
          </cell>
        </row>
        <row r="2964">
          <cell r="P2964">
            <v>49797725</v>
          </cell>
          <cell r="AG2964">
            <v>55310419</v>
          </cell>
        </row>
        <row r="3040">
          <cell r="G3040">
            <v>1559500</v>
          </cell>
          <cell r="H3040">
            <v>1559500</v>
          </cell>
        </row>
        <row r="3058">
          <cell r="H3058">
            <v>16714042</v>
          </cell>
        </row>
        <row r="3060">
          <cell r="W3060">
            <v>16938117</v>
          </cell>
        </row>
        <row r="3087">
          <cell r="H3087">
            <v>65726630</v>
          </cell>
        </row>
        <row r="3089">
          <cell r="O3089">
            <v>48608440</v>
          </cell>
          <cell r="W3089">
            <v>17441630</v>
          </cell>
        </row>
        <row r="3090">
          <cell r="H3090">
            <v>8000000</v>
          </cell>
        </row>
        <row r="3093">
          <cell r="H3093">
            <v>22500000</v>
          </cell>
        </row>
        <row r="3095">
          <cell r="H3095">
            <v>16450000</v>
          </cell>
        </row>
        <row r="3100">
          <cell r="H3100">
            <v>1335000</v>
          </cell>
        </row>
        <row r="3103">
          <cell r="H3103">
            <v>305876354</v>
          </cell>
        </row>
        <row r="3105">
          <cell r="O3105">
            <v>122148569</v>
          </cell>
        </row>
        <row r="3106">
          <cell r="H3106">
            <v>28410416</v>
          </cell>
        </row>
        <row r="3137">
          <cell r="H3137">
            <v>2049168</v>
          </cell>
        </row>
        <row r="3139">
          <cell r="H3139">
            <v>344420</v>
          </cell>
        </row>
        <row r="3140">
          <cell r="H3140">
            <v>1054584</v>
          </cell>
        </row>
        <row r="3141">
          <cell r="H3141">
            <v>1412000</v>
          </cell>
        </row>
        <row r="3142">
          <cell r="H3142">
            <v>2652268</v>
          </cell>
        </row>
        <row r="3143">
          <cell r="H3143">
            <v>5053996</v>
          </cell>
        </row>
        <row r="3146">
          <cell r="H3146">
            <v>800000</v>
          </cell>
        </row>
        <row r="3147">
          <cell r="H3147">
            <v>7732200</v>
          </cell>
        </row>
        <row r="3148">
          <cell r="H3148">
            <v>1500000</v>
          </cell>
        </row>
        <row r="3149">
          <cell r="H3149">
            <v>5000000</v>
          </cell>
        </row>
        <row r="3150">
          <cell r="H3150">
            <v>1920000</v>
          </cell>
        </row>
        <row r="3151">
          <cell r="H3151">
            <v>4000000</v>
          </cell>
        </row>
        <row r="3152">
          <cell r="H3152">
            <v>488436</v>
          </cell>
        </row>
        <row r="3154">
          <cell r="H3154">
            <v>227082</v>
          </cell>
        </row>
        <row r="3159">
          <cell r="H3159">
            <v>1452000</v>
          </cell>
        </row>
        <row r="3160">
          <cell r="H3160">
            <v>2156872</v>
          </cell>
        </row>
        <row r="3161">
          <cell r="H3161">
            <v>1507040</v>
          </cell>
        </row>
        <row r="3185">
          <cell r="H3185">
            <v>414218</v>
          </cell>
        </row>
        <row r="3186">
          <cell r="H3186">
            <v>5259000</v>
          </cell>
        </row>
        <row r="3188">
          <cell r="H3188">
            <v>4313744</v>
          </cell>
        </row>
        <row r="3189">
          <cell r="H3189">
            <v>1050000</v>
          </cell>
        </row>
        <row r="3190">
          <cell r="H3190">
            <v>2080000</v>
          </cell>
        </row>
        <row r="3191">
          <cell r="H3191">
            <v>1228590</v>
          </cell>
        </row>
        <row r="3192">
          <cell r="H3192">
            <v>2230000</v>
          </cell>
        </row>
        <row r="3193">
          <cell r="H3193">
            <v>1050000</v>
          </cell>
        </row>
        <row r="3194">
          <cell r="H3194">
            <v>2156872</v>
          </cell>
        </row>
        <row r="3195">
          <cell r="H3195">
            <v>3465790</v>
          </cell>
        </row>
        <row r="3198">
          <cell r="H3198">
            <v>360000</v>
          </cell>
        </row>
        <row r="3199">
          <cell r="H3199">
            <v>768436</v>
          </cell>
        </row>
        <row r="3200">
          <cell r="H3200">
            <v>9833763</v>
          </cell>
        </row>
        <row r="3214">
          <cell r="H3214">
            <v>203082</v>
          </cell>
        </row>
        <row r="3215">
          <cell r="H3215">
            <v>2880000</v>
          </cell>
        </row>
        <row r="3216">
          <cell r="H3216">
            <v>2413960</v>
          </cell>
        </row>
        <row r="3218">
          <cell r="H3218">
            <v>2381327</v>
          </cell>
        </row>
        <row r="3221">
          <cell r="H3221">
            <v>360000</v>
          </cell>
        </row>
        <row r="3222">
          <cell r="H3222">
            <v>3860000</v>
          </cell>
        </row>
        <row r="3223">
          <cell r="H3223">
            <v>248672</v>
          </cell>
        </row>
        <row r="3224">
          <cell r="H3224">
            <v>780000</v>
          </cell>
        </row>
        <row r="3225">
          <cell r="H3225">
            <v>2030000</v>
          </cell>
        </row>
        <row r="3226">
          <cell r="H3226">
            <v>866000</v>
          </cell>
        </row>
        <row r="3227">
          <cell r="H3227">
            <v>1050000</v>
          </cell>
        </row>
        <row r="3228">
          <cell r="H3228">
            <v>428436</v>
          </cell>
        </row>
        <row r="3229">
          <cell r="H3229">
            <v>728368</v>
          </cell>
        </row>
        <row r="3230">
          <cell r="H3230">
            <v>300000</v>
          </cell>
        </row>
        <row r="3237">
          <cell r="H3237">
            <v>7865755</v>
          </cell>
        </row>
        <row r="3279">
          <cell r="H3279">
            <v>434543450</v>
          </cell>
        </row>
        <row r="3281">
          <cell r="W3281">
            <v>13947388</v>
          </cell>
          <cell r="AG3281">
            <v>431646734</v>
          </cell>
        </row>
        <row r="3395">
          <cell r="H3395">
            <v>5977125</v>
          </cell>
        </row>
        <row r="3397">
          <cell r="H3397">
            <v>5047350</v>
          </cell>
        </row>
        <row r="3399">
          <cell r="H3399">
            <v>200000</v>
          </cell>
        </row>
        <row r="3405">
          <cell r="G3405">
            <v>2000000</v>
          </cell>
          <cell r="H3405">
            <v>2000000</v>
          </cell>
        </row>
        <row r="3411">
          <cell r="H3411">
            <v>18476581</v>
          </cell>
        </row>
        <row r="3413">
          <cell r="O3413">
            <v>18676581</v>
          </cell>
        </row>
        <row r="3429">
          <cell r="O3429">
            <v>9832200</v>
          </cell>
        </row>
        <row r="3455">
          <cell r="H3455">
            <v>26955075</v>
          </cell>
        </row>
        <row r="3457">
          <cell r="O3457">
            <v>26955075</v>
          </cell>
        </row>
        <row r="3498">
          <cell r="H3498">
            <v>7752124</v>
          </cell>
        </row>
        <row r="3500">
          <cell r="O3500">
            <v>7752124</v>
          </cell>
        </row>
        <row r="3527">
          <cell r="H3527">
            <v>3600000</v>
          </cell>
        </row>
        <row r="3529">
          <cell r="O3529">
            <v>3600000</v>
          </cell>
        </row>
        <row r="3539">
          <cell r="H3539">
            <v>32643420</v>
          </cell>
        </row>
        <row r="3548">
          <cell r="H3548">
            <v>6711008</v>
          </cell>
        </row>
        <row r="3558">
          <cell r="H3558">
            <v>11100000</v>
          </cell>
        </row>
        <row r="3565">
          <cell r="H3565">
            <v>268655962</v>
          </cell>
        </row>
        <row r="3568">
          <cell r="H3568">
            <v>33050686</v>
          </cell>
        </row>
        <row r="3618">
          <cell r="H3618">
            <v>605726</v>
          </cell>
        </row>
        <row r="3625">
          <cell r="AG3625">
            <v>40018333</v>
          </cell>
        </row>
        <row r="3643">
          <cell r="X3643">
            <v>451915027</v>
          </cell>
          <cell r="AB3643">
            <v>2399143215</v>
          </cell>
        </row>
        <row r="3653">
          <cell r="H3653">
            <v>451915027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 2016"/>
      <sheetName val="MARZO 2016"/>
      <sheetName val="MARZO 2016 ULTIMO"/>
    </sheetNames>
    <sheetDataSet>
      <sheetData sheetId="0"/>
      <sheetData sheetId="1"/>
      <sheetData sheetId="2">
        <row r="942">
          <cell r="H942">
            <v>23933430</v>
          </cell>
        </row>
        <row r="1027">
          <cell r="H1027">
            <v>78376950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 2016"/>
    </sheetNames>
    <sheetDataSet>
      <sheetData sheetId="0" refreshError="1">
        <row r="18">
          <cell r="M18">
            <v>134596492</v>
          </cell>
        </row>
        <row r="107">
          <cell r="H107">
            <v>6621400</v>
          </cell>
        </row>
        <row r="109">
          <cell r="M109">
            <v>6621400</v>
          </cell>
        </row>
        <row r="180">
          <cell r="Z180">
            <v>60000000</v>
          </cell>
        </row>
        <row r="190">
          <cell r="Z190">
            <v>26000000</v>
          </cell>
        </row>
        <row r="218">
          <cell r="M218">
            <v>268168096</v>
          </cell>
          <cell r="O218">
            <v>701280247</v>
          </cell>
        </row>
        <row r="227">
          <cell r="Z227">
            <v>20000000</v>
          </cell>
        </row>
        <row r="308">
          <cell r="Y308">
            <v>110000000</v>
          </cell>
        </row>
        <row r="352">
          <cell r="W352">
            <v>100000000</v>
          </cell>
        </row>
        <row r="406">
          <cell r="Y406">
            <v>20000000</v>
          </cell>
        </row>
        <row r="430">
          <cell r="H430">
            <v>270000000</v>
          </cell>
        </row>
        <row r="432">
          <cell r="M432">
            <v>270000000</v>
          </cell>
        </row>
        <row r="478">
          <cell r="Y478">
            <v>10000000</v>
          </cell>
        </row>
        <row r="625">
          <cell r="O625">
            <v>80000000</v>
          </cell>
        </row>
        <row r="769">
          <cell r="H769">
            <v>17970750</v>
          </cell>
        </row>
        <row r="816">
          <cell r="O816">
            <v>10000000</v>
          </cell>
        </row>
        <row r="848">
          <cell r="O848">
            <v>33106800</v>
          </cell>
        </row>
        <row r="854">
          <cell r="O854">
            <v>15184000</v>
          </cell>
        </row>
        <row r="864">
          <cell r="O864">
            <v>35709200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 2016"/>
      <sheetName val="FEBRERO 2016"/>
      <sheetName val="Hoja1"/>
    </sheetNames>
    <sheetDataSet>
      <sheetData sheetId="0"/>
      <sheetData sheetId="1">
        <row r="9">
          <cell r="G9">
            <v>6303036669</v>
          </cell>
        </row>
        <row r="125">
          <cell r="O125">
            <v>193353600</v>
          </cell>
        </row>
        <row r="621">
          <cell r="H621">
            <v>9553836</v>
          </cell>
        </row>
        <row r="635">
          <cell r="H635">
            <v>18168096</v>
          </cell>
        </row>
        <row r="697">
          <cell r="P697">
            <v>14004396</v>
          </cell>
        </row>
        <row r="699">
          <cell r="X699">
            <v>1796640</v>
          </cell>
        </row>
      </sheetData>
      <sheetData sheetId="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 2016"/>
    </sheetNames>
    <sheetDataSet>
      <sheetData sheetId="0">
        <row r="16">
          <cell r="H16">
            <v>1253696459</v>
          </cell>
        </row>
        <row r="18">
          <cell r="AG18">
            <v>1679216</v>
          </cell>
        </row>
        <row r="29">
          <cell r="H29">
            <v>1679216</v>
          </cell>
        </row>
        <row r="339">
          <cell r="O339">
            <v>95047311</v>
          </cell>
        </row>
        <row r="531">
          <cell r="H531">
            <v>12792700</v>
          </cell>
        </row>
        <row r="546">
          <cell r="H546">
            <v>7800000</v>
          </cell>
        </row>
        <row r="556">
          <cell r="AG556">
            <v>4586738</v>
          </cell>
        </row>
        <row r="606">
          <cell r="AG606">
            <v>870000</v>
          </cell>
        </row>
        <row r="615">
          <cell r="H615">
            <v>1858369</v>
          </cell>
        </row>
        <row r="616">
          <cell r="H616">
            <v>1858369</v>
          </cell>
        </row>
        <row r="627">
          <cell r="Z627">
            <v>78057863</v>
          </cell>
        </row>
        <row r="648">
          <cell r="H648">
            <v>54642537</v>
          </cell>
        </row>
        <row r="665">
          <cell r="G665">
            <v>29398236</v>
          </cell>
          <cell r="H665">
            <v>29265411</v>
          </cell>
        </row>
        <row r="680">
          <cell r="Z680">
            <v>2000000</v>
          </cell>
        </row>
        <row r="812">
          <cell r="AG812">
            <v>6125485</v>
          </cell>
        </row>
        <row r="881">
          <cell r="H881">
            <v>198408143</v>
          </cell>
        </row>
        <row r="899">
          <cell r="H899">
            <v>19189124</v>
          </cell>
        </row>
        <row r="939">
          <cell r="H939">
            <v>47258973</v>
          </cell>
        </row>
        <row r="941">
          <cell r="Y941">
            <v>47258973</v>
          </cell>
        </row>
        <row r="962">
          <cell r="M962">
            <v>449538252</v>
          </cell>
        </row>
        <row r="1142">
          <cell r="AG1142">
            <v>11999998</v>
          </cell>
        </row>
        <row r="1161">
          <cell r="AA1161">
            <v>51295383</v>
          </cell>
        </row>
        <row r="1231">
          <cell r="AG1231">
            <v>900000</v>
          </cell>
        </row>
        <row r="1264">
          <cell r="Y1264">
            <v>34794000</v>
          </cell>
        </row>
        <row r="1965">
          <cell r="Y1965">
            <v>19997612</v>
          </cell>
        </row>
        <row r="1980">
          <cell r="AF1980">
            <v>104741836</v>
          </cell>
        </row>
        <row r="1989">
          <cell r="H1989">
            <v>30000000</v>
          </cell>
        </row>
        <row r="2000">
          <cell r="M2000">
            <v>21264791</v>
          </cell>
        </row>
        <row r="2028">
          <cell r="AG2028">
            <v>12000000</v>
          </cell>
        </row>
        <row r="2179">
          <cell r="P2179">
            <v>43061377</v>
          </cell>
        </row>
        <row r="2340">
          <cell r="O2340">
            <v>58857711</v>
          </cell>
        </row>
        <row r="2378">
          <cell r="H2378">
            <v>24728230</v>
          </cell>
        </row>
        <row r="2380">
          <cell r="W2380">
            <v>23188762</v>
          </cell>
        </row>
        <row r="2418">
          <cell r="O2418">
            <v>37235476</v>
          </cell>
          <cell r="AG2418">
            <v>21000000</v>
          </cell>
        </row>
        <row r="2440">
          <cell r="H2440">
            <v>82224209</v>
          </cell>
        </row>
        <row r="2654">
          <cell r="V2654">
            <v>187101991</v>
          </cell>
        </row>
        <row r="2917">
          <cell r="G2917">
            <v>17970750</v>
          </cell>
        </row>
        <row r="2945">
          <cell r="H2945">
            <v>3708435</v>
          </cell>
        </row>
        <row r="2947">
          <cell r="O2947">
            <v>3708435</v>
          </cell>
        </row>
        <row r="2973">
          <cell r="W2973">
            <v>4600000</v>
          </cell>
        </row>
        <row r="2993">
          <cell r="W2993">
            <v>4612759</v>
          </cell>
        </row>
        <row r="3040">
          <cell r="O3040">
            <v>11100000</v>
          </cell>
        </row>
        <row r="3047">
          <cell r="W3047">
            <v>235000000</v>
          </cell>
        </row>
        <row r="3113">
          <cell r="H3113">
            <v>429051059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 2016"/>
    </sheetNames>
    <sheetDataSet>
      <sheetData sheetId="0">
        <row r="31">
          <cell r="N31">
            <v>37846647</v>
          </cell>
        </row>
        <row r="179">
          <cell r="G179">
            <v>11962368</v>
          </cell>
          <cell r="H179">
            <v>11935200</v>
          </cell>
        </row>
        <row r="221">
          <cell r="H221">
            <v>249680327</v>
          </cell>
        </row>
        <row r="449">
          <cell r="G449">
            <v>15000000</v>
          </cell>
        </row>
        <row r="477">
          <cell r="O477">
            <v>145193691</v>
          </cell>
        </row>
        <row r="887">
          <cell r="H887">
            <v>700000</v>
          </cell>
        </row>
        <row r="889">
          <cell r="Y889">
            <v>700000</v>
          </cell>
        </row>
        <row r="1402">
          <cell r="H1402">
            <v>20000000</v>
          </cell>
        </row>
        <row r="1444">
          <cell r="M1444">
            <v>30000000</v>
          </cell>
        </row>
        <row r="1616">
          <cell r="H1616">
            <v>16000000</v>
          </cell>
        </row>
        <row r="1796">
          <cell r="H1796">
            <v>19800000</v>
          </cell>
        </row>
        <row r="1806">
          <cell r="H1806">
            <v>9057037</v>
          </cell>
        </row>
        <row r="1808">
          <cell r="O1808">
            <v>9057037</v>
          </cell>
        </row>
        <row r="1834">
          <cell r="O1834">
            <v>84468000</v>
          </cell>
        </row>
        <row r="1849">
          <cell r="H1849">
            <v>100977069</v>
          </cell>
        </row>
        <row r="1895">
          <cell r="O1895">
            <v>110000000</v>
          </cell>
        </row>
        <row r="2297">
          <cell r="H2297">
            <v>10000000</v>
          </cell>
        </row>
        <row r="2299">
          <cell r="O2299">
            <v>10000000</v>
          </cell>
        </row>
        <row r="2306">
          <cell r="O2306">
            <v>10000000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IO 2016"/>
    </sheetNames>
    <sheetDataSet>
      <sheetData sheetId="0">
        <row r="31">
          <cell r="M31">
            <v>690623210</v>
          </cell>
        </row>
        <row r="197">
          <cell r="W197">
            <v>250000000</v>
          </cell>
        </row>
        <row r="399">
          <cell r="O399">
            <v>10000000</v>
          </cell>
        </row>
        <row r="461">
          <cell r="Z461">
            <v>55000000</v>
          </cell>
        </row>
        <row r="626">
          <cell r="Z626">
            <v>17580000</v>
          </cell>
          <cell r="AG626">
            <v>1840000</v>
          </cell>
        </row>
        <row r="627">
          <cell r="H627">
            <v>1400000</v>
          </cell>
        </row>
        <row r="628">
          <cell r="H628">
            <v>240000</v>
          </cell>
        </row>
        <row r="629">
          <cell r="H629">
            <v>17580000</v>
          </cell>
        </row>
        <row r="631">
          <cell r="H631">
            <v>200000</v>
          </cell>
        </row>
        <row r="951">
          <cell r="H951">
            <v>105000000</v>
          </cell>
        </row>
        <row r="953">
          <cell r="Y953">
            <v>105000000</v>
          </cell>
        </row>
        <row r="1028">
          <cell r="W1028">
            <v>7654735</v>
          </cell>
        </row>
        <row r="1063">
          <cell r="AF1063">
            <v>9580000</v>
          </cell>
        </row>
        <row r="1439">
          <cell r="Y1439">
            <v>18178361</v>
          </cell>
        </row>
        <row r="1629">
          <cell r="O1629">
            <v>30800000</v>
          </cell>
        </row>
        <row r="1784">
          <cell r="G1784">
            <v>3000000</v>
          </cell>
          <cell r="H1784">
            <v>3000000</v>
          </cell>
        </row>
        <row r="1918">
          <cell r="AG1918">
            <v>8000000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 2016"/>
    </sheetNames>
    <sheetDataSet>
      <sheetData sheetId="0">
        <row r="18">
          <cell r="M18">
            <v>1264899677</v>
          </cell>
        </row>
        <row r="31">
          <cell r="U31">
            <v>49856575</v>
          </cell>
        </row>
        <row r="62">
          <cell r="H62">
            <v>30000000</v>
          </cell>
        </row>
        <row r="75">
          <cell r="U75">
            <v>70000000</v>
          </cell>
          <cell r="AG75">
            <v>9866120</v>
          </cell>
        </row>
        <row r="91">
          <cell r="H91">
            <v>9866120</v>
          </cell>
        </row>
        <row r="416">
          <cell r="H416">
            <v>33881302</v>
          </cell>
        </row>
        <row r="901">
          <cell r="H901">
            <v>2142000</v>
          </cell>
        </row>
        <row r="904">
          <cell r="H904">
            <v>2700000</v>
          </cell>
        </row>
        <row r="906">
          <cell r="H906">
            <v>1700000</v>
          </cell>
        </row>
        <row r="908">
          <cell r="W908">
            <v>1112735</v>
          </cell>
        </row>
        <row r="1115">
          <cell r="H1115">
            <v>9233340</v>
          </cell>
        </row>
        <row r="1142">
          <cell r="AF1142">
            <v>3000000</v>
          </cell>
        </row>
        <row r="1359">
          <cell r="H1359">
            <v>14004396</v>
          </cell>
        </row>
        <row r="1361">
          <cell r="H1361">
            <v>1796640</v>
          </cell>
        </row>
        <row r="1393">
          <cell r="O1393">
            <v>1550000</v>
          </cell>
        </row>
        <row r="1397">
          <cell r="O1397">
            <v>1550000</v>
          </cell>
        </row>
        <row r="1676">
          <cell r="H1676">
            <v>4993200</v>
          </cell>
        </row>
        <row r="1678">
          <cell r="AG1678">
            <v>5000000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 2016"/>
    </sheetNames>
    <sheetDataSet>
      <sheetData sheetId="0">
        <row r="31">
          <cell r="H31">
            <v>86271560</v>
          </cell>
        </row>
        <row r="34">
          <cell r="H34">
            <v>49856575</v>
          </cell>
        </row>
        <row r="50">
          <cell r="U50">
            <v>30000000</v>
          </cell>
        </row>
        <row r="347">
          <cell r="Z347">
            <v>33953713</v>
          </cell>
        </row>
        <row r="480">
          <cell r="Z480">
            <v>100000000</v>
          </cell>
        </row>
        <row r="572">
          <cell r="Y572">
            <v>10000000</v>
          </cell>
        </row>
        <row r="585">
          <cell r="Y585">
            <v>27000000</v>
          </cell>
        </row>
        <row r="929">
          <cell r="H929">
            <v>16905130</v>
          </cell>
        </row>
        <row r="959">
          <cell r="H959">
            <v>3179500</v>
          </cell>
        </row>
        <row r="975">
          <cell r="H975">
            <v>10770298</v>
          </cell>
        </row>
        <row r="1547">
          <cell r="G1547">
            <v>1000000</v>
          </cell>
          <cell r="H1547">
            <v>1000000</v>
          </cell>
        </row>
        <row r="1609">
          <cell r="O1609">
            <v>9950000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 2016"/>
      <sheetName val="MARZO 2016"/>
      <sheetName val="MARZO 2016 ULTIMO"/>
    </sheetNames>
    <sheetDataSet>
      <sheetData sheetId="0"/>
      <sheetData sheetId="1"/>
      <sheetData sheetId="2">
        <row r="16">
          <cell r="H16">
            <v>191371395</v>
          </cell>
        </row>
        <row r="88">
          <cell r="H88">
            <v>15000000</v>
          </cell>
        </row>
        <row r="622">
          <cell r="H622">
            <v>100000000</v>
          </cell>
        </row>
        <row r="724">
          <cell r="Y724">
            <v>16905130</v>
          </cell>
        </row>
        <row r="817">
          <cell r="M817">
            <v>11831904</v>
          </cell>
        </row>
        <row r="846">
          <cell r="AF846">
            <v>16000000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M156"/>
  <sheetViews>
    <sheetView showGridLines="0" topLeftCell="C1" zoomScaleNormal="100" zoomScalePageLayoutView="50" workbookViewId="0">
      <selection activeCell="D13" sqref="D13"/>
    </sheetView>
  </sheetViews>
  <sheetFormatPr baseColWidth="10" defaultRowHeight="15" x14ac:dyDescent="0.25"/>
  <cols>
    <col min="1" max="1" width="4.85546875" hidden="1" customWidth="1"/>
    <col min="2" max="2" width="23" hidden="1" customWidth="1"/>
    <col min="3" max="3" width="9.42578125" customWidth="1"/>
    <col min="4" max="4" width="55.85546875" customWidth="1"/>
    <col min="5" max="5" width="6.28515625" customWidth="1"/>
    <col min="6" max="6" width="14.28515625" customWidth="1"/>
    <col min="7" max="7" width="14" customWidth="1"/>
    <col min="8" max="8" width="11.42578125" customWidth="1"/>
    <col min="9" max="9" width="14.42578125" customWidth="1"/>
    <col min="10" max="10" width="12.5703125" customWidth="1"/>
    <col min="11" max="11" width="12.28515625" customWidth="1"/>
    <col min="12" max="12" width="11.5703125" customWidth="1"/>
    <col min="13" max="13" width="8.42578125" customWidth="1"/>
    <col min="14" max="14" width="10.140625" customWidth="1"/>
    <col min="15" max="15" width="10.7109375" customWidth="1"/>
    <col min="16" max="16" width="11" customWidth="1"/>
    <col min="17" max="17" width="11.140625" customWidth="1"/>
    <col min="18" max="18" width="12.7109375" customWidth="1"/>
    <col min="19" max="19" width="12.28515625" customWidth="1"/>
    <col min="20" max="20" width="11.140625" customWidth="1"/>
    <col min="21" max="22" width="12.7109375" customWidth="1"/>
    <col min="23" max="23" width="11.28515625" customWidth="1"/>
    <col min="24" max="24" width="14.5703125" customWidth="1"/>
    <col min="25" max="26" width="12.28515625" customWidth="1"/>
    <col min="27" max="27" width="8.5703125" customWidth="1"/>
    <col min="28" max="29" width="14.42578125" customWidth="1"/>
    <col min="30" max="30" width="13.5703125" customWidth="1"/>
    <col min="31" max="31" width="14" customWidth="1"/>
    <col min="32" max="32" width="17.28515625" customWidth="1"/>
    <col min="33" max="33" width="16.140625" customWidth="1"/>
    <col min="34" max="35" width="15" customWidth="1"/>
    <col min="36" max="36" width="11.7109375" customWidth="1"/>
    <col min="37" max="37" width="13.28515625" customWidth="1"/>
    <col min="38" max="38" width="12.5703125" customWidth="1"/>
    <col min="39" max="39" width="14.42578125" customWidth="1"/>
    <col min="40" max="40" width="14.140625" customWidth="1"/>
    <col min="41" max="41" width="13.28515625" customWidth="1"/>
    <col min="42" max="42" width="13.5703125" customWidth="1"/>
    <col min="43" max="43" width="13.42578125" customWidth="1"/>
    <col min="44" max="44" width="17.7109375" customWidth="1"/>
    <col min="45" max="45" width="13.42578125" customWidth="1"/>
    <col min="46" max="46" width="14.85546875" customWidth="1"/>
    <col min="47" max="47" width="15.5703125" customWidth="1"/>
    <col min="48" max="48" width="13.85546875" customWidth="1"/>
    <col min="49" max="50" width="14.85546875" customWidth="1"/>
    <col min="51" max="51" width="14.5703125" customWidth="1"/>
    <col min="52" max="52" width="15.140625" customWidth="1"/>
    <col min="53" max="53" width="14.42578125" customWidth="1"/>
    <col min="54" max="54" width="11.28515625" customWidth="1"/>
    <col min="55" max="55" width="13.85546875" customWidth="1"/>
    <col min="56" max="56" width="10" customWidth="1"/>
    <col min="57" max="57" width="11" customWidth="1"/>
    <col min="58" max="59" width="9.28515625" customWidth="1"/>
    <col min="60" max="60" width="12.5703125" customWidth="1"/>
    <col min="61" max="61" width="13.5703125" customWidth="1"/>
    <col min="62" max="62" width="15.140625" customWidth="1"/>
    <col min="63" max="63" width="13.85546875" customWidth="1"/>
    <col min="64" max="64" width="15" customWidth="1"/>
    <col min="65" max="66" width="13.42578125" customWidth="1"/>
    <col min="67" max="67" width="13.5703125" customWidth="1"/>
    <col min="68" max="68" width="13.7109375" customWidth="1"/>
    <col min="69" max="69" width="14" customWidth="1"/>
    <col min="70" max="70" width="10.28515625" customWidth="1"/>
    <col min="71" max="72" width="14" customWidth="1"/>
    <col min="73" max="73" width="12.28515625" customWidth="1"/>
    <col min="74" max="74" width="13.28515625" customWidth="1"/>
    <col min="75" max="75" width="14" customWidth="1"/>
    <col min="76" max="76" width="15.42578125" customWidth="1"/>
    <col min="77" max="77" width="15.28515625" customWidth="1"/>
    <col min="78" max="78" width="12.42578125" customWidth="1"/>
    <col min="79" max="79" width="11.7109375" customWidth="1"/>
    <col min="80" max="80" width="13.42578125" customWidth="1"/>
    <col min="81" max="81" width="11.42578125" customWidth="1"/>
    <col min="82" max="82" width="15.7109375" customWidth="1"/>
    <col min="83" max="83" width="16.28515625" customWidth="1"/>
    <col min="84" max="84" width="16.5703125" customWidth="1"/>
    <col min="85" max="85" width="17.140625" customWidth="1"/>
    <col min="86" max="86" width="13" customWidth="1"/>
    <col min="87" max="88" width="14.28515625" customWidth="1"/>
    <col min="89" max="89" width="13.7109375" customWidth="1"/>
    <col min="90" max="90" width="12.28515625" customWidth="1"/>
    <col min="91" max="91" width="13.42578125" customWidth="1"/>
    <col min="92" max="92" width="9.7109375" customWidth="1"/>
    <col min="93" max="93" width="15" customWidth="1"/>
    <col min="94" max="94" width="13.7109375" customWidth="1"/>
    <col min="95" max="95" width="14.42578125" customWidth="1"/>
    <col min="96" max="96" width="15.5703125" customWidth="1"/>
    <col min="97" max="99" width="13.5703125" customWidth="1"/>
    <col min="100" max="101" width="13.85546875" customWidth="1"/>
    <col min="102" max="102" width="11.42578125" customWidth="1"/>
    <col min="103" max="103" width="13.7109375" customWidth="1"/>
    <col min="104" max="104" width="13.85546875" customWidth="1"/>
    <col min="105" max="105" width="12.28515625" customWidth="1"/>
    <col min="106" max="106" width="13.85546875" customWidth="1"/>
    <col min="107" max="107" width="13.28515625" customWidth="1"/>
    <col min="108" max="109" width="14.42578125" customWidth="1"/>
    <col min="110" max="110" width="14.85546875" hidden="1" customWidth="1"/>
    <col min="111" max="111" width="14.85546875" customWidth="1"/>
    <col min="112" max="112" width="13.5703125" customWidth="1"/>
    <col min="113" max="113" width="5.140625" customWidth="1"/>
    <col min="114" max="114" width="13.85546875" customWidth="1"/>
    <col min="115" max="115" width="14.42578125" customWidth="1"/>
    <col min="116" max="116" width="15" customWidth="1"/>
  </cols>
  <sheetData>
    <row r="1" spans="1:116" ht="15" customHeight="1" x14ac:dyDescent="0.3">
      <c r="C1" s="203" t="s">
        <v>0</v>
      </c>
      <c r="D1" s="203"/>
      <c r="E1" s="203"/>
      <c r="F1" s="203"/>
      <c r="G1" s="204" t="s">
        <v>1</v>
      </c>
      <c r="H1" s="204"/>
      <c r="I1" s="204"/>
      <c r="J1" s="204"/>
      <c r="K1" s="204"/>
      <c r="L1" s="204"/>
      <c r="M1" s="204"/>
      <c r="N1" s="204"/>
      <c r="O1" s="204"/>
      <c r="P1" s="204"/>
      <c r="Q1" s="204"/>
      <c r="R1" s="204"/>
      <c r="S1" s="204"/>
      <c r="T1" s="204"/>
      <c r="U1" s="204"/>
      <c r="V1" s="204"/>
      <c r="W1" s="204"/>
      <c r="X1" s="204"/>
      <c r="Y1" s="204"/>
      <c r="Z1" s="204"/>
      <c r="AA1" s="1"/>
      <c r="AB1" s="205" t="s">
        <v>2</v>
      </c>
      <c r="AC1" s="206"/>
      <c r="AD1" s="206"/>
      <c r="AE1" s="206"/>
      <c r="AF1" s="206"/>
      <c r="AG1" s="206"/>
      <c r="AH1" s="206"/>
      <c r="AI1" s="206"/>
      <c r="AJ1" s="206"/>
      <c r="AK1" s="206"/>
      <c r="AL1" s="206"/>
      <c r="AM1" s="206"/>
      <c r="AN1" s="206"/>
      <c r="AO1" s="206"/>
      <c r="AP1" s="206"/>
      <c r="AQ1" s="206"/>
      <c r="AR1" s="206"/>
      <c r="AS1" s="206"/>
      <c r="AT1" s="206"/>
      <c r="AU1" s="206"/>
      <c r="AV1" s="207"/>
      <c r="AW1" s="2"/>
      <c r="AX1" s="3"/>
      <c r="AY1" s="201" t="s">
        <v>3</v>
      </c>
      <c r="AZ1" s="202"/>
      <c r="BA1" s="202"/>
      <c r="BB1" s="202"/>
      <c r="BC1" s="202"/>
      <c r="BD1" s="202"/>
      <c r="BE1" s="202"/>
      <c r="BF1" s="202"/>
      <c r="BG1" s="202"/>
      <c r="BH1" s="202"/>
      <c r="BI1" s="202"/>
      <c r="BJ1" s="202"/>
      <c r="BK1" s="202"/>
      <c r="BL1" s="202"/>
      <c r="BM1" s="202"/>
      <c r="BN1" s="202"/>
      <c r="BO1" s="202"/>
      <c r="BP1" s="202"/>
      <c r="BQ1" s="202"/>
      <c r="BR1" s="208"/>
      <c r="BS1" s="201" t="s">
        <v>4</v>
      </c>
      <c r="BT1" s="202"/>
      <c r="BU1" s="202"/>
      <c r="BV1" s="202"/>
      <c r="BW1" s="202"/>
      <c r="BX1" s="202"/>
      <c r="BY1" s="202"/>
      <c r="BZ1" s="202"/>
      <c r="CA1" s="202"/>
      <c r="CB1" s="202"/>
      <c r="CC1" s="202"/>
      <c r="CD1" s="202"/>
      <c r="CE1" s="202"/>
      <c r="CF1" s="202"/>
      <c r="CG1" s="202"/>
      <c r="CH1" s="202"/>
      <c r="CI1" s="202"/>
      <c r="CJ1" s="202"/>
      <c r="CK1" s="202"/>
      <c r="CL1" s="202"/>
      <c r="CM1" s="208"/>
      <c r="CN1" s="2"/>
      <c r="CO1" s="201" t="s">
        <v>3</v>
      </c>
      <c r="CP1" s="202"/>
      <c r="CQ1" s="202"/>
      <c r="CR1" s="202"/>
      <c r="CS1" s="202"/>
      <c r="CT1" s="202"/>
      <c r="CU1" s="202"/>
      <c r="CV1" s="202"/>
      <c r="CW1" s="202"/>
      <c r="CX1" s="202"/>
      <c r="CY1" s="202"/>
      <c r="CZ1" s="202"/>
      <c r="DA1" s="202"/>
      <c r="DB1" s="202"/>
      <c r="DC1" s="202"/>
      <c r="DD1" s="202"/>
      <c r="DE1" s="202"/>
      <c r="DF1" s="202"/>
      <c r="DG1" s="202"/>
      <c r="DH1" s="202"/>
    </row>
    <row r="2" spans="1:116" ht="15.6" customHeight="1" x14ac:dyDescent="0.25">
      <c r="A2" s="209" t="s">
        <v>5</v>
      </c>
      <c r="B2" s="209" t="s">
        <v>6</v>
      </c>
      <c r="C2" s="210" t="s">
        <v>7</v>
      </c>
      <c r="D2" s="209" t="s">
        <v>8</v>
      </c>
      <c r="E2" s="212" t="s">
        <v>9</v>
      </c>
      <c r="F2" s="225" t="s">
        <v>10</v>
      </c>
      <c r="G2" s="216" t="s">
        <v>11</v>
      </c>
      <c r="H2" s="217"/>
      <c r="I2" s="217"/>
      <c r="J2" s="217"/>
      <c r="K2" s="217"/>
      <c r="L2" s="217"/>
      <c r="M2" s="217"/>
      <c r="N2" s="217"/>
      <c r="O2" s="217"/>
      <c r="P2" s="217"/>
      <c r="Q2" s="217"/>
      <c r="R2" s="217"/>
      <c r="S2" s="217"/>
      <c r="T2" s="217"/>
      <c r="U2" s="217"/>
      <c r="V2" s="217"/>
      <c r="W2" s="217"/>
      <c r="X2" s="217"/>
      <c r="Y2" s="217"/>
      <c r="Z2" s="218"/>
      <c r="AA2" s="4"/>
      <c r="AB2" s="219" t="s">
        <v>12</v>
      </c>
      <c r="AC2" s="220"/>
      <c r="AD2" s="220"/>
      <c r="AE2" s="220"/>
      <c r="AF2" s="220"/>
      <c r="AG2" s="220"/>
      <c r="AH2" s="220"/>
      <c r="AI2" s="220"/>
      <c r="AJ2" s="220"/>
      <c r="AK2" s="220"/>
      <c r="AL2" s="220"/>
      <c r="AM2" s="220"/>
      <c r="AN2" s="220"/>
      <c r="AO2" s="220"/>
      <c r="AP2" s="220"/>
      <c r="AQ2" s="220"/>
      <c r="AR2" s="220"/>
      <c r="AS2" s="220"/>
      <c r="AT2" s="220"/>
      <c r="AU2" s="220"/>
      <c r="AV2" s="221"/>
      <c r="AW2" s="5"/>
      <c r="AX2" s="6"/>
      <c r="AY2" s="222" t="s">
        <v>13</v>
      </c>
      <c r="AZ2" s="223"/>
      <c r="BA2" s="223"/>
      <c r="BB2" s="223"/>
      <c r="BC2" s="223"/>
      <c r="BD2" s="223"/>
      <c r="BE2" s="223"/>
      <c r="BF2" s="223"/>
      <c r="BG2" s="224"/>
      <c r="BH2" s="222" t="s">
        <v>13</v>
      </c>
      <c r="BI2" s="223"/>
      <c r="BJ2" s="223"/>
      <c r="BK2" s="223"/>
      <c r="BL2" s="223"/>
      <c r="BM2" s="223"/>
      <c r="BN2" s="223"/>
      <c r="BO2" s="223"/>
      <c r="BP2" s="223"/>
      <c r="BQ2" s="224"/>
      <c r="BR2" s="7"/>
      <c r="BS2" s="8"/>
      <c r="BT2" s="9"/>
      <c r="BU2" s="219" t="s">
        <v>14</v>
      </c>
      <c r="BV2" s="220"/>
      <c r="BW2" s="220"/>
      <c r="BX2" s="220"/>
      <c r="BY2" s="220"/>
      <c r="BZ2" s="220"/>
      <c r="CA2" s="220"/>
      <c r="CB2" s="220"/>
      <c r="CC2" s="220"/>
      <c r="CD2" s="220"/>
      <c r="CE2" s="10"/>
      <c r="CF2" s="219" t="s">
        <v>14</v>
      </c>
      <c r="CG2" s="220"/>
      <c r="CH2" s="220"/>
      <c r="CI2" s="220"/>
      <c r="CJ2" s="220"/>
      <c r="CK2" s="220"/>
      <c r="CL2" s="220"/>
      <c r="CM2" s="221"/>
      <c r="CN2" s="11"/>
      <c r="CO2" s="222" t="s">
        <v>13</v>
      </c>
      <c r="CP2" s="223"/>
      <c r="CQ2" s="223"/>
      <c r="CR2" s="223"/>
      <c r="CS2" s="223"/>
      <c r="CT2" s="223"/>
      <c r="CU2" s="223"/>
      <c r="CV2" s="223"/>
      <c r="CW2" s="223"/>
      <c r="CX2" s="223"/>
      <c r="CY2" s="223" t="s">
        <v>13</v>
      </c>
      <c r="CZ2" s="223"/>
      <c r="DA2" s="223"/>
      <c r="DB2" s="223"/>
      <c r="DC2" s="223"/>
      <c r="DD2" s="223"/>
      <c r="DE2" s="223"/>
      <c r="DF2" s="223"/>
      <c r="DG2" s="223"/>
      <c r="DH2" s="224"/>
    </row>
    <row r="3" spans="1:116" ht="39" customHeight="1" x14ac:dyDescent="0.25">
      <c r="A3" s="209"/>
      <c r="B3" s="209"/>
      <c r="C3" s="211"/>
      <c r="D3" s="209"/>
      <c r="E3" s="213"/>
      <c r="F3" s="226"/>
      <c r="G3" s="12" t="s">
        <v>15</v>
      </c>
      <c r="H3" s="12" t="s">
        <v>16</v>
      </c>
      <c r="I3" s="12" t="s">
        <v>17</v>
      </c>
      <c r="J3" s="12" t="s">
        <v>18</v>
      </c>
      <c r="K3" s="12" t="s">
        <v>19</v>
      </c>
      <c r="L3" s="12" t="s">
        <v>20</v>
      </c>
      <c r="M3" s="12" t="s">
        <v>21</v>
      </c>
      <c r="N3" s="12" t="s">
        <v>22</v>
      </c>
      <c r="O3" s="12" t="s">
        <v>23</v>
      </c>
      <c r="P3" s="12" t="s">
        <v>24</v>
      </c>
      <c r="Q3" s="12" t="s">
        <v>25</v>
      </c>
      <c r="R3" s="12" t="s">
        <v>26</v>
      </c>
      <c r="S3" s="12" t="s">
        <v>27</v>
      </c>
      <c r="T3" s="12" t="s">
        <v>28</v>
      </c>
      <c r="U3" s="12" t="s">
        <v>29</v>
      </c>
      <c r="V3" s="12" t="s">
        <v>30</v>
      </c>
      <c r="W3" s="12" t="s">
        <v>31</v>
      </c>
      <c r="X3" s="12" t="s">
        <v>32</v>
      </c>
      <c r="Y3" s="12" t="s">
        <v>33</v>
      </c>
      <c r="Z3" s="12" t="s">
        <v>34</v>
      </c>
      <c r="AA3" s="13" t="s">
        <v>35</v>
      </c>
      <c r="AB3" s="14" t="s">
        <v>15</v>
      </c>
      <c r="AC3" s="14" t="s">
        <v>36</v>
      </c>
      <c r="AD3" s="14" t="s">
        <v>16</v>
      </c>
      <c r="AE3" s="14" t="s">
        <v>37</v>
      </c>
      <c r="AF3" s="14" t="s">
        <v>18</v>
      </c>
      <c r="AG3" s="14" t="s">
        <v>19</v>
      </c>
      <c r="AH3" s="14" t="s">
        <v>20</v>
      </c>
      <c r="AI3" s="14" t="s">
        <v>21</v>
      </c>
      <c r="AJ3" s="14" t="s">
        <v>22</v>
      </c>
      <c r="AK3" s="14" t="s">
        <v>23</v>
      </c>
      <c r="AL3" s="14" t="s">
        <v>24</v>
      </c>
      <c r="AM3" s="14" t="s">
        <v>38</v>
      </c>
      <c r="AN3" s="14" t="s">
        <v>26</v>
      </c>
      <c r="AO3" s="14" t="s">
        <v>27</v>
      </c>
      <c r="AP3" s="14" t="s">
        <v>28</v>
      </c>
      <c r="AQ3" s="15" t="str">
        <f>+U3</f>
        <v xml:space="preserve">EXCEDENTES  USCO </v>
      </c>
      <c r="AR3" s="14" t="s">
        <v>30</v>
      </c>
      <c r="AS3" s="14" t="s">
        <v>31</v>
      </c>
      <c r="AT3" s="14" t="s">
        <v>32</v>
      </c>
      <c r="AU3" s="14" t="s">
        <v>33</v>
      </c>
      <c r="AV3" s="14" t="s">
        <v>34</v>
      </c>
      <c r="AW3" s="16" t="s">
        <v>35</v>
      </c>
      <c r="AX3" s="17" t="s">
        <v>15</v>
      </c>
      <c r="AY3" s="17" t="s">
        <v>16</v>
      </c>
      <c r="AZ3" s="17" t="s">
        <v>37</v>
      </c>
      <c r="BA3" s="17" t="s">
        <v>18</v>
      </c>
      <c r="BB3" s="17" t="s">
        <v>19</v>
      </c>
      <c r="BC3" s="17" t="s">
        <v>20</v>
      </c>
      <c r="BD3" s="17" t="s">
        <v>21</v>
      </c>
      <c r="BE3" s="17" t="s">
        <v>22</v>
      </c>
      <c r="BF3" s="17" t="s">
        <v>23</v>
      </c>
      <c r="BG3" s="17" t="s">
        <v>24</v>
      </c>
      <c r="BH3" s="17" t="s">
        <v>38</v>
      </c>
      <c r="BI3" s="17" t="s">
        <v>26</v>
      </c>
      <c r="BJ3" s="17" t="s">
        <v>27</v>
      </c>
      <c r="BK3" s="17" t="s">
        <v>28</v>
      </c>
      <c r="BL3" s="17" t="str">
        <f>+AQ3</f>
        <v xml:space="preserve">EXCEDENTES  USCO </v>
      </c>
      <c r="BM3" s="17" t="s">
        <v>30</v>
      </c>
      <c r="BN3" s="17" t="s">
        <v>31</v>
      </c>
      <c r="BO3" s="17" t="s">
        <v>32</v>
      </c>
      <c r="BP3" s="17" t="s">
        <v>33</v>
      </c>
      <c r="BQ3" s="17" t="s">
        <v>34</v>
      </c>
      <c r="BR3" s="13" t="s">
        <v>35</v>
      </c>
      <c r="BS3" s="14" t="s">
        <v>15</v>
      </c>
      <c r="BT3" s="14" t="s">
        <v>36</v>
      </c>
      <c r="BU3" s="14" t="s">
        <v>16</v>
      </c>
      <c r="BV3" s="14" t="s">
        <v>37</v>
      </c>
      <c r="BW3" s="14" t="s">
        <v>18</v>
      </c>
      <c r="BX3" s="14" t="s">
        <v>19</v>
      </c>
      <c r="BY3" s="14" t="s">
        <v>20</v>
      </c>
      <c r="BZ3" s="14" t="s">
        <v>21</v>
      </c>
      <c r="CA3" s="14" t="s">
        <v>22</v>
      </c>
      <c r="CB3" s="14" t="s">
        <v>23</v>
      </c>
      <c r="CC3" s="14" t="s">
        <v>24</v>
      </c>
      <c r="CD3" s="14" t="s">
        <v>38</v>
      </c>
      <c r="CE3" s="14" t="s">
        <v>26</v>
      </c>
      <c r="CF3" s="14" t="s">
        <v>27</v>
      </c>
      <c r="CG3" s="14" t="s">
        <v>28</v>
      </c>
      <c r="CH3" s="14" t="str">
        <f>+BL3</f>
        <v xml:space="preserve">EXCEDENTES  USCO </v>
      </c>
      <c r="CI3" s="14" t="s">
        <v>30</v>
      </c>
      <c r="CJ3" s="14" t="s">
        <v>31</v>
      </c>
      <c r="CK3" s="14" t="s">
        <v>32</v>
      </c>
      <c r="CL3" s="14" t="s">
        <v>33</v>
      </c>
      <c r="CM3" s="14" t="s">
        <v>34</v>
      </c>
      <c r="CN3" s="16" t="s">
        <v>35</v>
      </c>
      <c r="CO3" s="17" t="s">
        <v>15</v>
      </c>
      <c r="CP3" s="17" t="s">
        <v>16</v>
      </c>
      <c r="CQ3" s="17" t="s">
        <v>37</v>
      </c>
      <c r="CR3" s="17" t="s">
        <v>18</v>
      </c>
      <c r="CS3" s="17" t="s">
        <v>19</v>
      </c>
      <c r="CT3" s="17" t="s">
        <v>20</v>
      </c>
      <c r="CU3" s="17" t="s">
        <v>21</v>
      </c>
      <c r="CV3" s="17" t="s">
        <v>22</v>
      </c>
      <c r="CW3" s="17" t="s">
        <v>23</v>
      </c>
      <c r="CX3" s="17" t="s">
        <v>24</v>
      </c>
      <c r="CY3" s="17" t="s">
        <v>38</v>
      </c>
      <c r="CZ3" s="17" t="s">
        <v>26</v>
      </c>
      <c r="DA3" s="17" t="s">
        <v>27</v>
      </c>
      <c r="DB3" s="17" t="s">
        <v>28</v>
      </c>
      <c r="DC3" s="18" t="str">
        <f>+CH3</f>
        <v xml:space="preserve">EXCEDENTES  USCO </v>
      </c>
      <c r="DD3" s="17" t="s">
        <v>30</v>
      </c>
      <c r="DE3" s="17" t="s">
        <v>31</v>
      </c>
      <c r="DF3" s="17" t="s">
        <v>32</v>
      </c>
      <c r="DG3" s="17" t="s">
        <v>33</v>
      </c>
      <c r="DH3" s="17" t="s">
        <v>34</v>
      </c>
    </row>
    <row r="4" spans="1:116" ht="48.75" customHeight="1" x14ac:dyDescent="0.25">
      <c r="A4" s="19" t="s">
        <v>39</v>
      </c>
      <c r="B4" s="214" t="s">
        <v>40</v>
      </c>
      <c r="C4" s="20" t="s">
        <v>41</v>
      </c>
      <c r="D4" s="21" t="s">
        <v>42</v>
      </c>
      <c r="E4" s="22">
        <v>510</v>
      </c>
      <c r="F4" s="23" t="s">
        <v>43</v>
      </c>
      <c r="G4" s="24">
        <f t="shared" ref="G4:G19" si="0">SUM(H4:Z4)</f>
        <v>25000000</v>
      </c>
      <c r="H4" s="24"/>
      <c r="I4" s="24"/>
      <c r="J4" s="24"/>
      <c r="K4" s="24">
        <v>25000000</v>
      </c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5">
        <f t="shared" ref="AA4:AA67" si="1">+AB4/G4</f>
        <v>1</v>
      </c>
      <c r="AB4" s="24">
        <f t="shared" ref="AB4:AB19" si="2">SUM(AC4:AV4)</f>
        <v>25000000</v>
      </c>
      <c r="AC4" s="26"/>
      <c r="AD4" s="27"/>
      <c r="AE4" s="27"/>
      <c r="AF4" s="27"/>
      <c r="AG4" s="24">
        <v>25000000</v>
      </c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5">
        <f t="shared" ref="AW4:AW69" si="3">1-AA4</f>
        <v>0</v>
      </c>
      <c r="AX4" s="24">
        <f t="shared" ref="AX4:AX19" si="4">SUM(AY4:BQ4)</f>
        <v>0</v>
      </c>
      <c r="AY4" s="24">
        <f t="shared" ref="AY4:AY9" si="5">+H4</f>
        <v>0</v>
      </c>
      <c r="AZ4" s="24">
        <f t="shared" ref="AZ4:BA16" si="6">I4-AE4</f>
        <v>0</v>
      </c>
      <c r="BA4" s="24">
        <f t="shared" si="6"/>
        <v>0</v>
      </c>
      <c r="BB4" s="24">
        <f t="shared" ref="BB4:BM16" si="7">+K4-AG4</f>
        <v>0</v>
      </c>
      <c r="BC4" s="24">
        <f t="shared" si="7"/>
        <v>0</v>
      </c>
      <c r="BD4" s="24">
        <f t="shared" si="7"/>
        <v>0</v>
      </c>
      <c r="BE4" s="24">
        <f t="shared" si="7"/>
        <v>0</v>
      </c>
      <c r="BF4" s="24">
        <f t="shared" si="7"/>
        <v>0</v>
      </c>
      <c r="BG4" s="24">
        <f t="shared" si="7"/>
        <v>0</v>
      </c>
      <c r="BH4" s="24">
        <f t="shared" si="7"/>
        <v>0</v>
      </c>
      <c r="BI4" s="24">
        <f t="shared" si="7"/>
        <v>0</v>
      </c>
      <c r="BJ4" s="24">
        <f t="shared" si="7"/>
        <v>0</v>
      </c>
      <c r="BK4" s="24">
        <f t="shared" si="7"/>
        <v>0</v>
      </c>
      <c r="BL4" s="24">
        <f t="shared" si="7"/>
        <v>0</v>
      </c>
      <c r="BM4" s="24">
        <f t="shared" si="7"/>
        <v>0</v>
      </c>
      <c r="BN4" s="24"/>
      <c r="BO4" s="24">
        <f>+X4-AT4</f>
        <v>0</v>
      </c>
      <c r="BP4" s="24">
        <f t="shared" ref="BP4:BP16" si="8">Y4-AU4</f>
        <v>0</v>
      </c>
      <c r="BQ4" s="24">
        <f t="shared" ref="BQ4:BQ16" si="9">+Z4-AV4</f>
        <v>0</v>
      </c>
      <c r="BR4" s="25">
        <f t="shared" ref="BR4:BR67" si="10">+BS4/G4</f>
        <v>0.93398736000000004</v>
      </c>
      <c r="BS4" s="24">
        <f t="shared" ref="BS4:BS19" si="11">SUM(BT4:CM4)</f>
        <v>23349684</v>
      </c>
      <c r="BT4" s="24"/>
      <c r="BU4" s="24"/>
      <c r="BV4" s="24"/>
      <c r="BW4" s="24"/>
      <c r="BX4" s="24">
        <f>+'[1]SEPTIEMBRE 2016'!$H$2606</f>
        <v>23349684</v>
      </c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5">
        <f t="shared" ref="CN4:CN59" si="12">1-BR4</f>
        <v>6.6012639999999956E-2</v>
      </c>
      <c r="CO4" s="24">
        <f t="shared" ref="CO4:CO19" si="13">SUM(CP4:DH4)</f>
        <v>1650316</v>
      </c>
      <c r="CP4" s="24">
        <f t="shared" ref="CP4:CU19" si="14">H4-BU4</f>
        <v>0</v>
      </c>
      <c r="CQ4" s="24">
        <f t="shared" si="14"/>
        <v>0</v>
      </c>
      <c r="CR4" s="24">
        <f t="shared" si="14"/>
        <v>0</v>
      </c>
      <c r="CS4" s="24">
        <f t="shared" si="14"/>
        <v>1650316</v>
      </c>
      <c r="CT4" s="24">
        <f t="shared" si="14"/>
        <v>0</v>
      </c>
      <c r="CU4" s="24">
        <f t="shared" si="14"/>
        <v>0</v>
      </c>
      <c r="CV4" s="24">
        <f t="shared" ref="CV4:CX16" si="15">+N4-CA4</f>
        <v>0</v>
      </c>
      <c r="CW4" s="24">
        <f t="shared" si="15"/>
        <v>0</v>
      </c>
      <c r="CX4" s="24">
        <f t="shared" si="15"/>
        <v>0</v>
      </c>
      <c r="CY4" s="24">
        <f t="shared" ref="CY4:DA19" si="16">Q4-CD4</f>
        <v>0</v>
      </c>
      <c r="CZ4" s="24">
        <f t="shared" si="16"/>
        <v>0</v>
      </c>
      <c r="DA4" s="24">
        <f t="shared" si="16"/>
        <v>0</v>
      </c>
      <c r="DB4" s="24">
        <f t="shared" ref="DB4:DD16" si="17">+T4-CG4</f>
        <v>0</v>
      </c>
      <c r="DC4" s="24">
        <f t="shared" si="17"/>
        <v>0</v>
      </c>
      <c r="DD4" s="24">
        <f t="shared" si="17"/>
        <v>0</v>
      </c>
      <c r="DE4" s="24"/>
      <c r="DF4" s="24">
        <f t="shared" ref="DF4:DH16" si="18">+X4-CK4</f>
        <v>0</v>
      </c>
      <c r="DG4" s="24">
        <f t="shared" si="18"/>
        <v>0</v>
      </c>
      <c r="DH4" s="24">
        <f t="shared" si="18"/>
        <v>0</v>
      </c>
      <c r="DJ4" s="29">
        <f t="shared" ref="DJ4:DJ23" si="19">+G4</f>
        <v>25000000</v>
      </c>
      <c r="DK4" s="29">
        <f t="shared" ref="DK4:DK69" si="20">+AB4+AX4</f>
        <v>25000000</v>
      </c>
      <c r="DL4" s="29">
        <f t="shared" ref="DL4:DL69" si="21">+BS4+CO4</f>
        <v>25000000</v>
      </c>
    </row>
    <row r="5" spans="1:116" ht="51.75" customHeight="1" x14ac:dyDescent="0.25">
      <c r="A5" s="30"/>
      <c r="B5" s="227"/>
      <c r="C5" s="20" t="s">
        <v>44</v>
      </c>
      <c r="D5" s="21" t="s">
        <v>45</v>
      </c>
      <c r="E5" s="22">
        <v>510</v>
      </c>
      <c r="F5" s="23" t="s">
        <v>46</v>
      </c>
      <c r="G5" s="24">
        <f t="shared" si="0"/>
        <v>74800000</v>
      </c>
      <c r="H5" s="24"/>
      <c r="I5" s="24">
        <f>18000000-18000000</f>
        <v>0</v>
      </c>
      <c r="J5" s="24"/>
      <c r="K5" s="24">
        <f>36000000+18000000</f>
        <v>54000000</v>
      </c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>
        <f>5000000+1800000-1000000+3000000+12000000</f>
        <v>20800000</v>
      </c>
      <c r="AA5" s="25">
        <f t="shared" si="1"/>
        <v>0.61900487967914442</v>
      </c>
      <c r="AB5" s="24">
        <f t="shared" si="2"/>
        <v>46301565</v>
      </c>
      <c r="AC5" s="24"/>
      <c r="AD5" s="24"/>
      <c r="AE5" s="24"/>
      <c r="AF5" s="24"/>
      <c r="AG5" s="24">
        <f>+'[1]SEPTIEMBRE 2016'!$O$2627</f>
        <v>40500000</v>
      </c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>
        <f>+'[1]SEPTIEMBRE 2016'!$AG$2627</f>
        <v>5801565</v>
      </c>
      <c r="AW5" s="25">
        <f t="shared" si="3"/>
        <v>0.38099512032085558</v>
      </c>
      <c r="AX5" s="24">
        <f t="shared" si="4"/>
        <v>28498435</v>
      </c>
      <c r="AY5" s="24">
        <f t="shared" si="5"/>
        <v>0</v>
      </c>
      <c r="AZ5" s="24">
        <f t="shared" si="6"/>
        <v>0</v>
      </c>
      <c r="BA5" s="24">
        <f t="shared" si="6"/>
        <v>0</v>
      </c>
      <c r="BB5" s="24">
        <f t="shared" si="7"/>
        <v>13500000</v>
      </c>
      <c r="BC5" s="24">
        <f t="shared" si="7"/>
        <v>0</v>
      </c>
      <c r="BD5" s="24">
        <f t="shared" si="7"/>
        <v>0</v>
      </c>
      <c r="BE5" s="24">
        <f t="shared" si="7"/>
        <v>0</v>
      </c>
      <c r="BF5" s="24">
        <f t="shared" si="7"/>
        <v>0</v>
      </c>
      <c r="BG5" s="24">
        <f t="shared" si="7"/>
        <v>0</v>
      </c>
      <c r="BH5" s="24">
        <f t="shared" si="7"/>
        <v>0</v>
      </c>
      <c r="BI5" s="24">
        <f t="shared" si="7"/>
        <v>0</v>
      </c>
      <c r="BJ5" s="24">
        <f t="shared" si="7"/>
        <v>0</v>
      </c>
      <c r="BK5" s="24">
        <f t="shared" si="7"/>
        <v>0</v>
      </c>
      <c r="BL5" s="24">
        <f t="shared" si="7"/>
        <v>0</v>
      </c>
      <c r="BM5" s="24">
        <f t="shared" si="7"/>
        <v>0</v>
      </c>
      <c r="BN5" s="24"/>
      <c r="BO5" s="24"/>
      <c r="BP5" s="24">
        <f t="shared" si="8"/>
        <v>0</v>
      </c>
      <c r="BQ5" s="24">
        <f t="shared" si="9"/>
        <v>14998435</v>
      </c>
      <c r="BR5" s="25">
        <f t="shared" si="10"/>
        <v>0.55882350267379677</v>
      </c>
      <c r="BS5" s="24">
        <f t="shared" si="11"/>
        <v>41799998</v>
      </c>
      <c r="BT5" s="24"/>
      <c r="BU5" s="24"/>
      <c r="BV5" s="24"/>
      <c r="BW5" s="24"/>
      <c r="BX5" s="24">
        <f>+'[1]SEPTIEMBRE 2016'!$H$2628+'[1]SEPTIEMBRE 2016'!$H$2634</f>
        <v>35999998</v>
      </c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>
        <f>+'[1]SEPTIEMBRE 2016'!$H$2625-BX5</f>
        <v>5800000</v>
      </c>
      <c r="CN5" s="25">
        <f t="shared" si="12"/>
        <v>0.44117649732620323</v>
      </c>
      <c r="CO5" s="24">
        <f t="shared" si="13"/>
        <v>33000002</v>
      </c>
      <c r="CP5" s="24">
        <f t="shared" si="14"/>
        <v>0</v>
      </c>
      <c r="CQ5" s="24">
        <f t="shared" si="14"/>
        <v>0</v>
      </c>
      <c r="CR5" s="24">
        <f t="shared" si="14"/>
        <v>0</v>
      </c>
      <c r="CS5" s="24">
        <f t="shared" si="14"/>
        <v>18000002</v>
      </c>
      <c r="CT5" s="24">
        <f t="shared" si="14"/>
        <v>0</v>
      </c>
      <c r="CU5" s="24">
        <f t="shared" si="14"/>
        <v>0</v>
      </c>
      <c r="CV5" s="24">
        <f t="shared" si="15"/>
        <v>0</v>
      </c>
      <c r="CW5" s="24">
        <f t="shared" si="15"/>
        <v>0</v>
      </c>
      <c r="CX5" s="24">
        <f t="shared" si="15"/>
        <v>0</v>
      </c>
      <c r="CY5" s="24">
        <f t="shared" si="16"/>
        <v>0</v>
      </c>
      <c r="CZ5" s="24">
        <f t="shared" si="16"/>
        <v>0</v>
      </c>
      <c r="DA5" s="24">
        <f t="shared" si="16"/>
        <v>0</v>
      </c>
      <c r="DB5" s="24">
        <f t="shared" si="17"/>
        <v>0</v>
      </c>
      <c r="DC5" s="24">
        <f t="shared" si="17"/>
        <v>0</v>
      </c>
      <c r="DD5" s="24">
        <f t="shared" si="17"/>
        <v>0</v>
      </c>
      <c r="DE5" s="24"/>
      <c r="DF5" s="24">
        <f t="shared" si="18"/>
        <v>0</v>
      </c>
      <c r="DG5" s="24">
        <f t="shared" si="18"/>
        <v>0</v>
      </c>
      <c r="DH5" s="24">
        <f t="shared" si="18"/>
        <v>15000000</v>
      </c>
      <c r="DJ5" s="29">
        <f t="shared" si="19"/>
        <v>74800000</v>
      </c>
      <c r="DK5" s="29">
        <f t="shared" si="20"/>
        <v>74800000</v>
      </c>
      <c r="DL5" s="29">
        <f t="shared" si="21"/>
        <v>74800000</v>
      </c>
    </row>
    <row r="6" spans="1:116" ht="32.25" customHeight="1" x14ac:dyDescent="0.25">
      <c r="A6" s="30"/>
      <c r="B6" s="215"/>
      <c r="C6" s="20" t="s">
        <v>47</v>
      </c>
      <c r="D6" s="21" t="s">
        <v>48</v>
      </c>
      <c r="E6" s="31">
        <v>510</v>
      </c>
      <c r="F6" s="23" t="s">
        <v>43</v>
      </c>
      <c r="G6" s="24">
        <f t="shared" si="0"/>
        <v>21000000</v>
      </c>
      <c r="H6" s="24"/>
      <c r="I6" s="24">
        <f>11000000-11000000</f>
        <v>0</v>
      </c>
      <c r="J6" s="24"/>
      <c r="K6" s="24">
        <f>10000000+11000000</f>
        <v>21000000</v>
      </c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5">
        <f t="shared" si="1"/>
        <v>0.94521214285714283</v>
      </c>
      <c r="AB6" s="24">
        <f t="shared" si="2"/>
        <v>19849455</v>
      </c>
      <c r="AC6" s="24"/>
      <c r="AD6" s="24"/>
      <c r="AE6" s="24"/>
      <c r="AF6" s="24"/>
      <c r="AG6" s="24">
        <f>+'[1]SEPTIEMBRE 2016'!$O$2648</f>
        <v>19849455</v>
      </c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5">
        <f t="shared" si="3"/>
        <v>5.4787857142857166E-2</v>
      </c>
      <c r="AX6" s="24">
        <f t="shared" si="4"/>
        <v>1150545</v>
      </c>
      <c r="AY6" s="24">
        <f t="shared" si="5"/>
        <v>0</v>
      </c>
      <c r="AZ6" s="24">
        <f t="shared" si="6"/>
        <v>0</v>
      </c>
      <c r="BA6" s="24">
        <f t="shared" si="6"/>
        <v>0</v>
      </c>
      <c r="BB6" s="24">
        <f t="shared" si="7"/>
        <v>1150545</v>
      </c>
      <c r="BC6" s="24">
        <f t="shared" si="7"/>
        <v>0</v>
      </c>
      <c r="BD6" s="24">
        <f t="shared" si="7"/>
        <v>0</v>
      </c>
      <c r="BE6" s="24">
        <f t="shared" si="7"/>
        <v>0</v>
      </c>
      <c r="BF6" s="24">
        <f t="shared" si="7"/>
        <v>0</v>
      </c>
      <c r="BG6" s="24">
        <f t="shared" si="7"/>
        <v>0</v>
      </c>
      <c r="BH6" s="24">
        <f t="shared" si="7"/>
        <v>0</v>
      </c>
      <c r="BI6" s="24">
        <f t="shared" si="7"/>
        <v>0</v>
      </c>
      <c r="BJ6" s="24">
        <f t="shared" si="7"/>
        <v>0</v>
      </c>
      <c r="BK6" s="24">
        <f t="shared" si="7"/>
        <v>0</v>
      </c>
      <c r="BL6" s="24">
        <f t="shared" si="7"/>
        <v>0</v>
      </c>
      <c r="BM6" s="24">
        <f t="shared" si="7"/>
        <v>0</v>
      </c>
      <c r="BN6" s="24"/>
      <c r="BO6" s="24"/>
      <c r="BP6" s="24">
        <f t="shared" si="8"/>
        <v>0</v>
      </c>
      <c r="BQ6" s="24">
        <f t="shared" si="9"/>
        <v>0</v>
      </c>
      <c r="BR6" s="25">
        <f t="shared" si="10"/>
        <v>0.87187880952380947</v>
      </c>
      <c r="BS6" s="24">
        <f t="shared" si="11"/>
        <v>18309455</v>
      </c>
      <c r="BT6" s="24"/>
      <c r="BU6" s="24"/>
      <c r="BV6" s="24"/>
      <c r="BW6" s="24"/>
      <c r="BX6" s="24">
        <f>+'[1]SEPTIEMBRE 2016'!$H$2646</f>
        <v>18309455</v>
      </c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/>
      <c r="CJ6" s="24"/>
      <c r="CK6" s="24"/>
      <c r="CL6" s="24"/>
      <c r="CM6" s="24"/>
      <c r="CN6" s="25">
        <f t="shared" si="12"/>
        <v>0.12812119047619053</v>
      </c>
      <c r="CO6" s="24">
        <f t="shared" si="13"/>
        <v>2690545</v>
      </c>
      <c r="CP6" s="24">
        <f t="shared" si="14"/>
        <v>0</v>
      </c>
      <c r="CQ6" s="24">
        <f t="shared" si="14"/>
        <v>0</v>
      </c>
      <c r="CR6" s="24">
        <f t="shared" si="14"/>
        <v>0</v>
      </c>
      <c r="CS6" s="24">
        <f t="shared" si="14"/>
        <v>2690545</v>
      </c>
      <c r="CT6" s="24">
        <f t="shared" si="14"/>
        <v>0</v>
      </c>
      <c r="CU6" s="24">
        <f t="shared" si="14"/>
        <v>0</v>
      </c>
      <c r="CV6" s="24">
        <f t="shared" si="15"/>
        <v>0</v>
      </c>
      <c r="CW6" s="24">
        <f t="shared" si="15"/>
        <v>0</v>
      </c>
      <c r="CX6" s="24">
        <f t="shared" si="15"/>
        <v>0</v>
      </c>
      <c r="CY6" s="24">
        <f t="shared" si="16"/>
        <v>0</v>
      </c>
      <c r="CZ6" s="24">
        <f t="shared" si="16"/>
        <v>0</v>
      </c>
      <c r="DA6" s="24">
        <f t="shared" si="16"/>
        <v>0</v>
      </c>
      <c r="DB6" s="24">
        <f t="shared" si="17"/>
        <v>0</v>
      </c>
      <c r="DC6" s="24">
        <f t="shared" si="17"/>
        <v>0</v>
      </c>
      <c r="DD6" s="24">
        <f t="shared" si="17"/>
        <v>0</v>
      </c>
      <c r="DE6" s="24"/>
      <c r="DF6" s="24">
        <f t="shared" si="18"/>
        <v>0</v>
      </c>
      <c r="DG6" s="24">
        <f t="shared" si="18"/>
        <v>0</v>
      </c>
      <c r="DH6" s="24">
        <f t="shared" si="18"/>
        <v>0</v>
      </c>
      <c r="DJ6" s="29">
        <f t="shared" si="19"/>
        <v>21000000</v>
      </c>
      <c r="DK6" s="29">
        <f t="shared" si="20"/>
        <v>21000000</v>
      </c>
      <c r="DL6" s="29">
        <f t="shared" si="21"/>
        <v>21000000</v>
      </c>
    </row>
    <row r="7" spans="1:116" ht="54" customHeight="1" x14ac:dyDescent="0.25">
      <c r="A7" s="30"/>
      <c r="B7" s="32" t="s">
        <v>49</v>
      </c>
      <c r="C7" s="20" t="s">
        <v>50</v>
      </c>
      <c r="D7" s="21" t="s">
        <v>51</v>
      </c>
      <c r="E7" s="22">
        <v>510</v>
      </c>
      <c r="F7" s="23" t="s">
        <v>52</v>
      </c>
      <c r="G7" s="24">
        <f t="shared" si="0"/>
        <v>21876315</v>
      </c>
      <c r="H7" s="24"/>
      <c r="I7" s="24">
        <f>21000000-21000000</f>
        <v>0</v>
      </c>
      <c r="J7" s="24"/>
      <c r="K7" s="24">
        <f>21000000-21000000</f>
        <v>0</v>
      </c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>
        <f>12576315+12300000-3000000</f>
        <v>21876315</v>
      </c>
      <c r="AA7" s="25">
        <f t="shared" si="1"/>
        <v>0.63430769761726324</v>
      </c>
      <c r="AB7" s="24">
        <f t="shared" si="2"/>
        <v>13876315</v>
      </c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>
        <f>+'[1]SEPTIEMBRE 2016'!$AG$2660</f>
        <v>13876315</v>
      </c>
      <c r="AW7" s="25">
        <f t="shared" si="3"/>
        <v>0.36569230238273676</v>
      </c>
      <c r="AX7" s="24">
        <f t="shared" si="4"/>
        <v>8000000</v>
      </c>
      <c r="AY7" s="24">
        <f t="shared" si="5"/>
        <v>0</v>
      </c>
      <c r="AZ7" s="24">
        <f t="shared" si="6"/>
        <v>0</v>
      </c>
      <c r="BA7" s="24">
        <f t="shared" si="6"/>
        <v>0</v>
      </c>
      <c r="BB7" s="24">
        <f t="shared" si="7"/>
        <v>0</v>
      </c>
      <c r="BC7" s="24">
        <f t="shared" si="7"/>
        <v>0</v>
      </c>
      <c r="BD7" s="24">
        <f t="shared" si="7"/>
        <v>0</v>
      </c>
      <c r="BE7" s="24">
        <f t="shared" si="7"/>
        <v>0</v>
      </c>
      <c r="BF7" s="24">
        <f t="shared" si="7"/>
        <v>0</v>
      </c>
      <c r="BG7" s="24">
        <f t="shared" si="7"/>
        <v>0</v>
      </c>
      <c r="BH7" s="24">
        <f t="shared" si="7"/>
        <v>0</v>
      </c>
      <c r="BI7" s="24">
        <f t="shared" si="7"/>
        <v>0</v>
      </c>
      <c r="BJ7" s="24">
        <f t="shared" si="7"/>
        <v>0</v>
      </c>
      <c r="BK7" s="24">
        <f t="shared" si="7"/>
        <v>0</v>
      </c>
      <c r="BL7" s="24">
        <f t="shared" si="7"/>
        <v>0</v>
      </c>
      <c r="BM7" s="24">
        <f t="shared" si="7"/>
        <v>0</v>
      </c>
      <c r="BN7" s="24"/>
      <c r="BO7" s="24"/>
      <c r="BP7" s="24">
        <f t="shared" si="8"/>
        <v>0</v>
      </c>
      <c r="BQ7" s="24">
        <f t="shared" si="9"/>
        <v>8000000</v>
      </c>
      <c r="BR7" s="25">
        <f t="shared" si="10"/>
        <v>0.58460339412739304</v>
      </c>
      <c r="BS7" s="24">
        <f t="shared" si="11"/>
        <v>12788968</v>
      </c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>
        <f>+'[1]SEPTIEMBRE 2016'!$H$2658</f>
        <v>12788968</v>
      </c>
      <c r="CN7" s="25">
        <f t="shared" si="12"/>
        <v>0.41539660587260696</v>
      </c>
      <c r="CO7" s="24">
        <f t="shared" si="13"/>
        <v>9087347</v>
      </c>
      <c r="CP7" s="24">
        <f t="shared" si="14"/>
        <v>0</v>
      </c>
      <c r="CQ7" s="24">
        <f t="shared" si="14"/>
        <v>0</v>
      </c>
      <c r="CR7" s="24">
        <f t="shared" si="14"/>
        <v>0</v>
      </c>
      <c r="CS7" s="24">
        <f t="shared" si="14"/>
        <v>0</v>
      </c>
      <c r="CT7" s="24">
        <f t="shared" si="14"/>
        <v>0</v>
      </c>
      <c r="CU7" s="24">
        <f t="shared" si="14"/>
        <v>0</v>
      </c>
      <c r="CV7" s="24">
        <f t="shared" si="15"/>
        <v>0</v>
      </c>
      <c r="CW7" s="24">
        <f t="shared" si="15"/>
        <v>0</v>
      </c>
      <c r="CX7" s="24">
        <f t="shared" si="15"/>
        <v>0</v>
      </c>
      <c r="CY7" s="24">
        <f t="shared" si="16"/>
        <v>0</v>
      </c>
      <c r="CZ7" s="24">
        <f t="shared" si="16"/>
        <v>0</v>
      </c>
      <c r="DA7" s="24">
        <f t="shared" si="16"/>
        <v>0</v>
      </c>
      <c r="DB7" s="24">
        <f t="shared" si="17"/>
        <v>0</v>
      </c>
      <c r="DC7" s="24">
        <f t="shared" si="17"/>
        <v>0</v>
      </c>
      <c r="DD7" s="24">
        <f t="shared" si="17"/>
        <v>0</v>
      </c>
      <c r="DE7" s="24"/>
      <c r="DF7" s="24">
        <f t="shared" si="18"/>
        <v>0</v>
      </c>
      <c r="DG7" s="24">
        <f t="shared" si="18"/>
        <v>0</v>
      </c>
      <c r="DH7" s="24">
        <f t="shared" si="18"/>
        <v>9087347</v>
      </c>
      <c r="DJ7" s="29">
        <f t="shared" si="19"/>
        <v>21876315</v>
      </c>
      <c r="DK7" s="29">
        <f t="shared" si="20"/>
        <v>21876315</v>
      </c>
      <c r="DL7" s="29">
        <f t="shared" si="21"/>
        <v>21876315</v>
      </c>
    </row>
    <row r="8" spans="1:116" ht="45" x14ac:dyDescent="0.25">
      <c r="A8" s="30"/>
      <c r="B8" s="214" t="s">
        <v>53</v>
      </c>
      <c r="C8" s="20" t="s">
        <v>54</v>
      </c>
      <c r="D8" s="21" t="s">
        <v>55</v>
      </c>
      <c r="E8" s="22">
        <v>310</v>
      </c>
      <c r="F8" s="23" t="s">
        <v>43</v>
      </c>
      <c r="G8" s="24">
        <f t="shared" si="0"/>
        <v>200000000</v>
      </c>
      <c r="H8" s="24"/>
      <c r="I8" s="24">
        <f>200000000-193378600</f>
        <v>6621400</v>
      </c>
      <c r="J8" s="24"/>
      <c r="K8" s="24">
        <f>193378600</f>
        <v>193378600</v>
      </c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5">
        <f t="shared" si="1"/>
        <v>0.99987499999999996</v>
      </c>
      <c r="AB8" s="24">
        <f t="shared" si="2"/>
        <v>199975000</v>
      </c>
      <c r="AC8" s="24"/>
      <c r="AD8" s="24"/>
      <c r="AE8" s="24">
        <f>+'[2]ENERO 2016'!$M$109</f>
        <v>6621400</v>
      </c>
      <c r="AF8" s="24"/>
      <c r="AG8" s="24">
        <f>+'[3]FEBRERO 2016'!$O$125</f>
        <v>193353600</v>
      </c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5">
        <f t="shared" si="3"/>
        <v>1.2500000000004174E-4</v>
      </c>
      <c r="AX8" s="24">
        <f t="shared" si="4"/>
        <v>25000</v>
      </c>
      <c r="AY8" s="24">
        <f t="shared" si="5"/>
        <v>0</v>
      </c>
      <c r="AZ8" s="24">
        <f t="shared" si="6"/>
        <v>0</v>
      </c>
      <c r="BA8" s="24">
        <f t="shared" si="6"/>
        <v>0</v>
      </c>
      <c r="BB8" s="24">
        <f t="shared" si="7"/>
        <v>25000</v>
      </c>
      <c r="BC8" s="24">
        <f t="shared" si="7"/>
        <v>0</v>
      </c>
      <c r="BD8" s="24">
        <f t="shared" si="7"/>
        <v>0</v>
      </c>
      <c r="BE8" s="24">
        <f t="shared" si="7"/>
        <v>0</v>
      </c>
      <c r="BF8" s="24">
        <f t="shared" si="7"/>
        <v>0</v>
      </c>
      <c r="BG8" s="24">
        <f t="shared" si="7"/>
        <v>0</v>
      </c>
      <c r="BH8" s="24">
        <f t="shared" si="7"/>
        <v>0</v>
      </c>
      <c r="BI8" s="24">
        <f t="shared" si="7"/>
        <v>0</v>
      </c>
      <c r="BJ8" s="24">
        <f t="shared" si="7"/>
        <v>0</v>
      </c>
      <c r="BK8" s="24">
        <f t="shared" si="7"/>
        <v>0</v>
      </c>
      <c r="BL8" s="24">
        <f t="shared" si="7"/>
        <v>0</v>
      </c>
      <c r="BM8" s="24">
        <f t="shared" si="7"/>
        <v>0</v>
      </c>
      <c r="BN8" s="24"/>
      <c r="BO8" s="24"/>
      <c r="BP8" s="24">
        <f t="shared" si="8"/>
        <v>0</v>
      </c>
      <c r="BQ8" s="24">
        <f t="shared" si="9"/>
        <v>0</v>
      </c>
      <c r="BR8" s="25">
        <f t="shared" si="10"/>
        <v>0.58338447000000004</v>
      </c>
      <c r="BS8" s="24">
        <f t="shared" si="11"/>
        <v>116676894</v>
      </c>
      <c r="BT8" s="24"/>
      <c r="BU8" s="24"/>
      <c r="BV8" s="24">
        <f>+'[2]ENERO 2016'!$H$107</f>
        <v>6621400</v>
      </c>
      <c r="BW8" s="24"/>
      <c r="BX8" s="24">
        <f>+'[1]SEPTIEMBRE 2016'!$H$364-'[1]SEPTIEMBRE 2016'!$M$364</f>
        <v>110055494</v>
      </c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5">
        <f t="shared" si="12"/>
        <v>0.41661552999999996</v>
      </c>
      <c r="CO8" s="24">
        <f t="shared" si="13"/>
        <v>83323106</v>
      </c>
      <c r="CP8" s="24">
        <f t="shared" si="14"/>
        <v>0</v>
      </c>
      <c r="CQ8" s="24">
        <f t="shared" si="14"/>
        <v>0</v>
      </c>
      <c r="CR8" s="24">
        <f t="shared" si="14"/>
        <v>0</v>
      </c>
      <c r="CS8" s="24">
        <f t="shared" si="14"/>
        <v>83323106</v>
      </c>
      <c r="CT8" s="24">
        <f t="shared" si="14"/>
        <v>0</v>
      </c>
      <c r="CU8" s="24">
        <f t="shared" si="14"/>
        <v>0</v>
      </c>
      <c r="CV8" s="24">
        <f t="shared" si="15"/>
        <v>0</v>
      </c>
      <c r="CW8" s="24">
        <f t="shared" si="15"/>
        <v>0</v>
      </c>
      <c r="CX8" s="24">
        <f t="shared" si="15"/>
        <v>0</v>
      </c>
      <c r="CY8" s="24">
        <f t="shared" si="16"/>
        <v>0</v>
      </c>
      <c r="CZ8" s="24">
        <f t="shared" si="16"/>
        <v>0</v>
      </c>
      <c r="DA8" s="24">
        <f t="shared" si="16"/>
        <v>0</v>
      </c>
      <c r="DB8" s="24">
        <f t="shared" si="17"/>
        <v>0</v>
      </c>
      <c r="DC8" s="24">
        <f t="shared" si="17"/>
        <v>0</v>
      </c>
      <c r="DD8" s="24">
        <f t="shared" si="17"/>
        <v>0</v>
      </c>
      <c r="DE8" s="24"/>
      <c r="DF8" s="24">
        <f t="shared" si="18"/>
        <v>0</v>
      </c>
      <c r="DG8" s="24">
        <f t="shared" si="18"/>
        <v>0</v>
      </c>
      <c r="DH8" s="24">
        <f t="shared" si="18"/>
        <v>0</v>
      </c>
      <c r="DJ8" s="29">
        <f t="shared" si="19"/>
        <v>200000000</v>
      </c>
      <c r="DK8" s="29">
        <f t="shared" si="20"/>
        <v>200000000</v>
      </c>
      <c r="DL8" s="29">
        <f t="shared" si="21"/>
        <v>200000000</v>
      </c>
    </row>
    <row r="9" spans="1:116" ht="69" customHeight="1" x14ac:dyDescent="0.25">
      <c r="A9" s="30"/>
      <c r="B9" s="227"/>
      <c r="C9" s="20" t="s">
        <v>56</v>
      </c>
      <c r="D9" s="21" t="s">
        <v>57</v>
      </c>
      <c r="E9" s="22">
        <v>310</v>
      </c>
      <c r="F9" s="23" t="s">
        <v>58</v>
      </c>
      <c r="G9" s="24">
        <f t="shared" si="0"/>
        <v>539200000</v>
      </c>
      <c r="H9" s="24"/>
      <c r="I9" s="24">
        <f>150000000+21000000+193378600+29000000</f>
        <v>393378600</v>
      </c>
      <c r="J9" s="24"/>
      <c r="K9" s="24">
        <f>370000000-21000000-193378600-30800000-29000000</f>
        <v>95821400</v>
      </c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>
        <f>30000000+12000000+1000000+7000000</f>
        <v>50000000</v>
      </c>
      <c r="AA9" s="25">
        <f t="shared" si="1"/>
        <v>0.44301970882789315</v>
      </c>
      <c r="AB9" s="24">
        <f t="shared" si="2"/>
        <v>238876227</v>
      </c>
      <c r="AC9" s="24"/>
      <c r="AD9" s="24"/>
      <c r="AE9" s="24">
        <f>+'[1]SEPTIEMBRE 2016'!$M$391</f>
        <v>110550306</v>
      </c>
      <c r="AF9" s="24"/>
      <c r="AG9" s="24">
        <f>+'[4]AGOSTO 2016'!$O$339</f>
        <v>95047311</v>
      </c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>
        <f>+'[1]SEPTIEMBRE 2016'!$AG$391</f>
        <v>33278610</v>
      </c>
      <c r="AW9" s="25">
        <f t="shared" si="3"/>
        <v>0.5569802911721069</v>
      </c>
      <c r="AX9" s="24">
        <f t="shared" si="4"/>
        <v>300323773</v>
      </c>
      <c r="AY9" s="24">
        <f t="shared" si="5"/>
        <v>0</v>
      </c>
      <c r="AZ9" s="24">
        <f t="shared" si="6"/>
        <v>282828294</v>
      </c>
      <c r="BA9" s="24">
        <f t="shared" si="6"/>
        <v>0</v>
      </c>
      <c r="BB9" s="24">
        <f t="shared" si="7"/>
        <v>774089</v>
      </c>
      <c r="BC9" s="24">
        <f t="shared" si="7"/>
        <v>0</v>
      </c>
      <c r="BD9" s="24">
        <f t="shared" si="7"/>
        <v>0</v>
      </c>
      <c r="BE9" s="24">
        <f t="shared" si="7"/>
        <v>0</v>
      </c>
      <c r="BF9" s="24">
        <f t="shared" si="7"/>
        <v>0</v>
      </c>
      <c r="BG9" s="24">
        <f t="shared" si="7"/>
        <v>0</v>
      </c>
      <c r="BH9" s="24">
        <f t="shared" si="7"/>
        <v>0</v>
      </c>
      <c r="BI9" s="24">
        <f t="shared" si="7"/>
        <v>0</v>
      </c>
      <c r="BJ9" s="24">
        <f t="shared" si="7"/>
        <v>0</v>
      </c>
      <c r="BK9" s="24">
        <f t="shared" si="7"/>
        <v>0</v>
      </c>
      <c r="BL9" s="24">
        <f t="shared" si="7"/>
        <v>0</v>
      </c>
      <c r="BM9" s="24">
        <f t="shared" si="7"/>
        <v>0</v>
      </c>
      <c r="BN9" s="24"/>
      <c r="BO9" s="24"/>
      <c r="BP9" s="24">
        <f t="shared" si="8"/>
        <v>0</v>
      </c>
      <c r="BQ9" s="24">
        <f t="shared" si="9"/>
        <v>16721390</v>
      </c>
      <c r="BR9" s="25">
        <f t="shared" si="10"/>
        <v>0.44084417099406525</v>
      </c>
      <c r="BS9" s="24">
        <f t="shared" si="11"/>
        <v>237703177</v>
      </c>
      <c r="BT9" s="24"/>
      <c r="BU9" s="24"/>
      <c r="BV9" s="24">
        <f>+'[1]SEPTIEMBRE 2016'!$H$389-BX9-CM9</f>
        <v>109870420</v>
      </c>
      <c r="BW9" s="24"/>
      <c r="BX9" s="24">
        <v>95047311</v>
      </c>
      <c r="BY9" s="24"/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>
        <f>+'[1]SEPTIEMBRE 2016'!$H$460+'[1]SEPTIEMBRE 2016'!$G$486+'[1]SEPTIEMBRE 2016'!$G$490+'[1]SEPTIEMBRE 2016'!$H$493+'[1]SEPTIEMBRE 2016'!$H$501+'[1]SEPTIEMBRE 2016'!$H$509+'[1]SEPTIEMBRE 2016'!$H$511+'[1]SEPTIEMBRE 2016'!$H$518+'[1]SEPTIEMBRE 2016'!$H$519+'[1]SEPTIEMBRE 2016'!$H$524+'[1]SEPTIEMBRE 2016'!$H$542+'[1]SEPTIEMBRE 2016'!$H$544+'[1]SEPTIEMBRE 2016'!$H$545+'[1]SEPTIEMBRE 2016'!$H$558+'[1]SEPTIEMBRE 2016'!$H$573+'[1]SEPTIEMBRE 2016'!$G$582+'[1]SEPTIEMBRE 2016'!$G$584+'[1]SEPTIEMBRE 2016'!$G$590+'[1]SEPTIEMBRE 2016'!$G$591+'[1]SEPTIEMBRE 2016'!$H$599+'[1]SEPTIEMBRE 2016'!$H$600+'[1]SEPTIEMBRE 2016'!$H$603+'[1]SEPTIEMBRE 2016'!$G$616+'[1]SEPTIEMBRE 2016'!$G$618+'[1]SEPTIEMBRE 2016'!$G$619+'[1]SEPTIEMBRE 2016'!$G$622+'[1]SEPTIEMBRE 2016'!$H$629</f>
        <v>32785446</v>
      </c>
      <c r="CN9" s="25">
        <f t="shared" si="12"/>
        <v>0.55915582900593475</v>
      </c>
      <c r="CO9" s="24">
        <f t="shared" si="13"/>
        <v>301496823</v>
      </c>
      <c r="CP9" s="24">
        <f t="shared" si="14"/>
        <v>0</v>
      </c>
      <c r="CQ9" s="24">
        <f t="shared" si="14"/>
        <v>283508180</v>
      </c>
      <c r="CR9" s="24">
        <f t="shared" si="14"/>
        <v>0</v>
      </c>
      <c r="CS9" s="24">
        <f t="shared" si="14"/>
        <v>774089</v>
      </c>
      <c r="CT9" s="24">
        <f t="shared" si="14"/>
        <v>0</v>
      </c>
      <c r="CU9" s="24">
        <f t="shared" si="14"/>
        <v>0</v>
      </c>
      <c r="CV9" s="24">
        <f t="shared" si="15"/>
        <v>0</v>
      </c>
      <c r="CW9" s="24">
        <f t="shared" si="15"/>
        <v>0</v>
      </c>
      <c r="CX9" s="24">
        <f t="shared" si="15"/>
        <v>0</v>
      </c>
      <c r="CY9" s="24">
        <f t="shared" si="16"/>
        <v>0</v>
      </c>
      <c r="CZ9" s="24">
        <f t="shared" si="16"/>
        <v>0</v>
      </c>
      <c r="DA9" s="24">
        <f t="shared" si="16"/>
        <v>0</v>
      </c>
      <c r="DB9" s="24">
        <f t="shared" si="17"/>
        <v>0</v>
      </c>
      <c r="DC9" s="24">
        <f t="shared" si="17"/>
        <v>0</v>
      </c>
      <c r="DD9" s="24">
        <f t="shared" si="17"/>
        <v>0</v>
      </c>
      <c r="DE9" s="24"/>
      <c r="DF9" s="24">
        <f t="shared" si="18"/>
        <v>0</v>
      </c>
      <c r="DG9" s="24">
        <f t="shared" si="18"/>
        <v>0</v>
      </c>
      <c r="DH9" s="24">
        <f t="shared" si="18"/>
        <v>17214554</v>
      </c>
      <c r="DJ9" s="29">
        <f t="shared" si="19"/>
        <v>539200000</v>
      </c>
      <c r="DK9" s="29">
        <f t="shared" si="20"/>
        <v>539200000</v>
      </c>
      <c r="DL9" s="29">
        <f t="shared" si="21"/>
        <v>539200000</v>
      </c>
    </row>
    <row r="10" spans="1:116" ht="19.5" customHeight="1" x14ac:dyDescent="0.25">
      <c r="A10" s="30"/>
      <c r="B10" s="227"/>
      <c r="C10" s="20" t="s">
        <v>59</v>
      </c>
      <c r="D10" s="21" t="s">
        <v>60</v>
      </c>
      <c r="E10" s="22">
        <v>310</v>
      </c>
      <c r="F10" s="23" t="s">
        <v>43</v>
      </c>
      <c r="G10" s="24">
        <f t="shared" si="0"/>
        <v>36000000</v>
      </c>
      <c r="H10" s="24"/>
      <c r="I10" s="24"/>
      <c r="J10" s="24"/>
      <c r="K10" s="24">
        <f>15000000+21000000</f>
        <v>36000000</v>
      </c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5">
        <f t="shared" si="1"/>
        <v>0.41666666666666669</v>
      </c>
      <c r="AB10" s="24">
        <f t="shared" si="2"/>
        <v>15000000</v>
      </c>
      <c r="AC10" s="24"/>
      <c r="AD10" s="24"/>
      <c r="AE10" s="24"/>
      <c r="AF10" s="24"/>
      <c r="AG10" s="24">
        <f>+'[5]JULIO 2016'!$G$449</f>
        <v>15000000</v>
      </c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5">
        <f t="shared" si="3"/>
        <v>0.58333333333333326</v>
      </c>
      <c r="AX10" s="24">
        <f t="shared" si="4"/>
        <v>21000000</v>
      </c>
      <c r="AY10" s="24">
        <f t="shared" ref="AY10:AY16" si="22">H10-AD10</f>
        <v>0</v>
      </c>
      <c r="AZ10" s="24">
        <f t="shared" si="6"/>
        <v>0</v>
      </c>
      <c r="BA10" s="24">
        <f t="shared" si="6"/>
        <v>0</v>
      </c>
      <c r="BB10" s="24">
        <f t="shared" si="7"/>
        <v>21000000</v>
      </c>
      <c r="BC10" s="24">
        <f t="shared" si="7"/>
        <v>0</v>
      </c>
      <c r="BD10" s="24">
        <f t="shared" si="7"/>
        <v>0</v>
      </c>
      <c r="BE10" s="24">
        <f t="shared" si="7"/>
        <v>0</v>
      </c>
      <c r="BF10" s="24">
        <f t="shared" si="7"/>
        <v>0</v>
      </c>
      <c r="BG10" s="24">
        <f t="shared" si="7"/>
        <v>0</v>
      </c>
      <c r="BH10" s="24">
        <f t="shared" si="7"/>
        <v>0</v>
      </c>
      <c r="BI10" s="24">
        <f t="shared" si="7"/>
        <v>0</v>
      </c>
      <c r="BJ10" s="24">
        <f t="shared" si="7"/>
        <v>0</v>
      </c>
      <c r="BK10" s="24">
        <f t="shared" si="7"/>
        <v>0</v>
      </c>
      <c r="BL10" s="24">
        <f t="shared" si="7"/>
        <v>0</v>
      </c>
      <c r="BM10" s="24">
        <f t="shared" si="7"/>
        <v>0</v>
      </c>
      <c r="BN10" s="24"/>
      <c r="BO10" s="24"/>
      <c r="BP10" s="24">
        <f t="shared" si="8"/>
        <v>0</v>
      </c>
      <c r="BQ10" s="24">
        <f t="shared" si="9"/>
        <v>0</v>
      </c>
      <c r="BR10" s="25">
        <f t="shared" si="10"/>
        <v>0.3553527777777778</v>
      </c>
      <c r="BS10" s="24">
        <f t="shared" si="11"/>
        <v>12792700</v>
      </c>
      <c r="BT10" s="24"/>
      <c r="BU10" s="24"/>
      <c r="BV10" s="24"/>
      <c r="BW10" s="24"/>
      <c r="BX10" s="24">
        <f>+'[4]AGOSTO 2016'!$H$531</f>
        <v>12792700</v>
      </c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5">
        <f t="shared" si="12"/>
        <v>0.64464722222222215</v>
      </c>
      <c r="CO10" s="24">
        <f t="shared" si="13"/>
        <v>23207300</v>
      </c>
      <c r="CP10" s="24">
        <f t="shared" si="14"/>
        <v>0</v>
      </c>
      <c r="CQ10" s="24">
        <f t="shared" si="14"/>
        <v>0</v>
      </c>
      <c r="CR10" s="24">
        <f t="shared" si="14"/>
        <v>0</v>
      </c>
      <c r="CS10" s="24">
        <f t="shared" si="14"/>
        <v>23207300</v>
      </c>
      <c r="CT10" s="24">
        <f t="shared" si="14"/>
        <v>0</v>
      </c>
      <c r="CU10" s="24">
        <f t="shared" si="14"/>
        <v>0</v>
      </c>
      <c r="CV10" s="24">
        <f t="shared" si="15"/>
        <v>0</v>
      </c>
      <c r="CW10" s="24">
        <f t="shared" si="15"/>
        <v>0</v>
      </c>
      <c r="CX10" s="24">
        <f t="shared" si="15"/>
        <v>0</v>
      </c>
      <c r="CY10" s="24">
        <f t="shared" si="16"/>
        <v>0</v>
      </c>
      <c r="CZ10" s="24">
        <f t="shared" si="16"/>
        <v>0</v>
      </c>
      <c r="DA10" s="24">
        <f t="shared" si="16"/>
        <v>0</v>
      </c>
      <c r="DB10" s="24">
        <f t="shared" si="17"/>
        <v>0</v>
      </c>
      <c r="DC10" s="24">
        <f t="shared" si="17"/>
        <v>0</v>
      </c>
      <c r="DD10" s="24">
        <f t="shared" si="17"/>
        <v>0</v>
      </c>
      <c r="DE10" s="24"/>
      <c r="DF10" s="24">
        <f t="shared" si="18"/>
        <v>0</v>
      </c>
      <c r="DG10" s="24">
        <f t="shared" si="18"/>
        <v>0</v>
      </c>
      <c r="DH10" s="24">
        <f t="shared" si="18"/>
        <v>0</v>
      </c>
      <c r="DJ10" s="29">
        <f t="shared" si="19"/>
        <v>36000000</v>
      </c>
      <c r="DK10" s="29">
        <f t="shared" si="20"/>
        <v>36000000</v>
      </c>
      <c r="DL10" s="29">
        <f t="shared" si="21"/>
        <v>36000000</v>
      </c>
    </row>
    <row r="11" spans="1:116" ht="45" x14ac:dyDescent="0.25">
      <c r="A11" s="30"/>
      <c r="B11" s="227"/>
      <c r="C11" s="20" t="s">
        <v>61</v>
      </c>
      <c r="D11" s="21" t="s">
        <v>62</v>
      </c>
      <c r="E11" s="22">
        <v>310</v>
      </c>
      <c r="F11" s="23" t="s">
        <v>43</v>
      </c>
      <c r="G11" s="24">
        <f t="shared" si="0"/>
        <v>50000000</v>
      </c>
      <c r="H11" s="33"/>
      <c r="I11" s="24">
        <v>50000000</v>
      </c>
      <c r="J11" s="33"/>
      <c r="K11" s="33"/>
      <c r="L11" s="24"/>
      <c r="M11" s="33"/>
      <c r="N11" s="28"/>
      <c r="O11" s="28"/>
      <c r="P11" s="28"/>
      <c r="Q11" s="28"/>
      <c r="R11" s="28"/>
      <c r="S11" s="28"/>
      <c r="T11" s="24"/>
      <c r="U11" s="28"/>
      <c r="V11" s="28"/>
      <c r="W11" s="28"/>
      <c r="X11" s="28"/>
      <c r="Y11" s="28"/>
      <c r="Z11" s="33"/>
      <c r="AA11" s="25">
        <f t="shared" si="1"/>
        <v>0.71524679999999996</v>
      </c>
      <c r="AB11" s="24">
        <f t="shared" si="2"/>
        <v>35762340</v>
      </c>
      <c r="AC11" s="24"/>
      <c r="AD11" s="24"/>
      <c r="AE11" s="24">
        <f>+'[1]SEPTIEMBRE 2016'!$M$658</f>
        <v>35762340</v>
      </c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5">
        <f t="shared" si="3"/>
        <v>0.28475320000000004</v>
      </c>
      <c r="AX11" s="24">
        <f t="shared" si="4"/>
        <v>14237660</v>
      </c>
      <c r="AY11" s="24">
        <f t="shared" si="22"/>
        <v>0</v>
      </c>
      <c r="AZ11" s="24">
        <f t="shared" si="6"/>
        <v>14237660</v>
      </c>
      <c r="BA11" s="24">
        <f t="shared" si="6"/>
        <v>0</v>
      </c>
      <c r="BB11" s="24">
        <f t="shared" si="7"/>
        <v>0</v>
      </c>
      <c r="BC11" s="24">
        <f t="shared" si="7"/>
        <v>0</v>
      </c>
      <c r="BD11" s="24">
        <f t="shared" si="7"/>
        <v>0</v>
      </c>
      <c r="BE11" s="24">
        <f t="shared" si="7"/>
        <v>0</v>
      </c>
      <c r="BF11" s="24">
        <f t="shared" si="7"/>
        <v>0</v>
      </c>
      <c r="BG11" s="24">
        <f t="shared" si="7"/>
        <v>0</v>
      </c>
      <c r="BH11" s="24">
        <f t="shared" si="7"/>
        <v>0</v>
      </c>
      <c r="BI11" s="24">
        <f t="shared" si="7"/>
        <v>0</v>
      </c>
      <c r="BJ11" s="24">
        <f t="shared" si="7"/>
        <v>0</v>
      </c>
      <c r="BK11" s="24">
        <f t="shared" si="7"/>
        <v>0</v>
      </c>
      <c r="BL11" s="24">
        <f t="shared" si="7"/>
        <v>0</v>
      </c>
      <c r="BM11" s="24">
        <f t="shared" si="7"/>
        <v>0</v>
      </c>
      <c r="BN11" s="24"/>
      <c r="BO11" s="24"/>
      <c r="BP11" s="24">
        <f t="shared" si="8"/>
        <v>0</v>
      </c>
      <c r="BQ11" s="24">
        <f t="shared" si="9"/>
        <v>0</v>
      </c>
      <c r="BR11" s="25">
        <f t="shared" si="10"/>
        <v>0.15524679999999999</v>
      </c>
      <c r="BS11" s="24">
        <f t="shared" si="11"/>
        <v>7762340</v>
      </c>
      <c r="BT11" s="24"/>
      <c r="BU11" s="24"/>
      <c r="BV11" s="24">
        <f>+'[1]SEPTIEMBRE 2016'!$H$656</f>
        <v>7762340</v>
      </c>
      <c r="BW11" s="24"/>
      <c r="BX11" s="24"/>
      <c r="BY11" s="24"/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5">
        <f t="shared" si="12"/>
        <v>0.84475319999999998</v>
      </c>
      <c r="CO11" s="24">
        <f t="shared" si="13"/>
        <v>42237660</v>
      </c>
      <c r="CP11" s="24">
        <f t="shared" si="14"/>
        <v>0</v>
      </c>
      <c r="CQ11" s="24">
        <f t="shared" si="14"/>
        <v>42237660</v>
      </c>
      <c r="CR11" s="24">
        <f t="shared" si="14"/>
        <v>0</v>
      </c>
      <c r="CS11" s="24">
        <f t="shared" si="14"/>
        <v>0</v>
      </c>
      <c r="CT11" s="24">
        <f t="shared" si="14"/>
        <v>0</v>
      </c>
      <c r="CU11" s="24">
        <f t="shared" si="14"/>
        <v>0</v>
      </c>
      <c r="CV11" s="24">
        <f t="shared" si="15"/>
        <v>0</v>
      </c>
      <c r="CW11" s="24">
        <f t="shared" si="15"/>
        <v>0</v>
      </c>
      <c r="CX11" s="24">
        <f t="shared" si="15"/>
        <v>0</v>
      </c>
      <c r="CY11" s="24">
        <f t="shared" si="16"/>
        <v>0</v>
      </c>
      <c r="CZ11" s="24">
        <f t="shared" si="16"/>
        <v>0</v>
      </c>
      <c r="DA11" s="24">
        <f t="shared" si="16"/>
        <v>0</v>
      </c>
      <c r="DB11" s="24">
        <f t="shared" si="17"/>
        <v>0</v>
      </c>
      <c r="DC11" s="24">
        <f t="shared" si="17"/>
        <v>0</v>
      </c>
      <c r="DD11" s="24">
        <f t="shared" si="17"/>
        <v>0</v>
      </c>
      <c r="DE11" s="24"/>
      <c r="DF11" s="24">
        <f t="shared" si="18"/>
        <v>0</v>
      </c>
      <c r="DG11" s="24">
        <f t="shared" si="18"/>
        <v>0</v>
      </c>
      <c r="DH11" s="24">
        <f t="shared" si="18"/>
        <v>0</v>
      </c>
      <c r="DJ11" s="29">
        <f t="shared" si="19"/>
        <v>50000000</v>
      </c>
      <c r="DK11" s="29">
        <f t="shared" si="20"/>
        <v>50000000</v>
      </c>
      <c r="DL11" s="29">
        <f t="shared" si="21"/>
        <v>50000000</v>
      </c>
    </row>
    <row r="12" spans="1:116" ht="21" customHeight="1" x14ac:dyDescent="0.25">
      <c r="A12" s="30"/>
      <c r="B12" s="215"/>
      <c r="C12" s="20" t="s">
        <v>63</v>
      </c>
      <c r="D12" s="21" t="s">
        <v>64</v>
      </c>
      <c r="E12" s="22">
        <v>310</v>
      </c>
      <c r="F12" s="23" t="s">
        <v>43</v>
      </c>
      <c r="G12" s="24">
        <f t="shared" si="0"/>
        <v>10000000</v>
      </c>
      <c r="H12" s="33"/>
      <c r="I12" s="24"/>
      <c r="J12" s="33"/>
      <c r="K12" s="24">
        <v>10000000</v>
      </c>
      <c r="L12" s="24"/>
      <c r="M12" s="33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33"/>
      <c r="AA12" s="25">
        <f t="shared" si="1"/>
        <v>1</v>
      </c>
      <c r="AB12" s="24">
        <f t="shared" si="2"/>
        <v>10000000</v>
      </c>
      <c r="AC12" s="24"/>
      <c r="AD12" s="24"/>
      <c r="AE12" s="24"/>
      <c r="AF12" s="24"/>
      <c r="AG12" s="24">
        <f>+'[6]JUNIO 2016'!$O$399</f>
        <v>10000000</v>
      </c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5">
        <f t="shared" si="3"/>
        <v>0</v>
      </c>
      <c r="AX12" s="24">
        <f t="shared" si="4"/>
        <v>0</v>
      </c>
      <c r="AY12" s="24">
        <f t="shared" si="22"/>
        <v>0</v>
      </c>
      <c r="AZ12" s="24">
        <f t="shared" si="6"/>
        <v>0</v>
      </c>
      <c r="BA12" s="24">
        <f t="shared" si="6"/>
        <v>0</v>
      </c>
      <c r="BB12" s="24">
        <f t="shared" si="7"/>
        <v>0</v>
      </c>
      <c r="BC12" s="24">
        <f t="shared" si="7"/>
        <v>0</v>
      </c>
      <c r="BD12" s="24">
        <f t="shared" si="7"/>
        <v>0</v>
      </c>
      <c r="BE12" s="24">
        <f t="shared" si="7"/>
        <v>0</v>
      </c>
      <c r="BF12" s="24">
        <f t="shared" si="7"/>
        <v>0</v>
      </c>
      <c r="BG12" s="24">
        <f t="shared" si="7"/>
        <v>0</v>
      </c>
      <c r="BH12" s="24">
        <f t="shared" si="7"/>
        <v>0</v>
      </c>
      <c r="BI12" s="24">
        <f t="shared" si="7"/>
        <v>0</v>
      </c>
      <c r="BJ12" s="24">
        <f t="shared" si="7"/>
        <v>0</v>
      </c>
      <c r="BK12" s="24">
        <f t="shared" si="7"/>
        <v>0</v>
      </c>
      <c r="BL12" s="24">
        <f t="shared" si="7"/>
        <v>0</v>
      </c>
      <c r="BM12" s="24">
        <f t="shared" si="7"/>
        <v>0</v>
      </c>
      <c r="BN12" s="24"/>
      <c r="BO12" s="24"/>
      <c r="BP12" s="24">
        <f t="shared" si="8"/>
        <v>0</v>
      </c>
      <c r="BQ12" s="24">
        <f t="shared" si="9"/>
        <v>0</v>
      </c>
      <c r="BR12" s="25">
        <f t="shared" si="10"/>
        <v>0.78</v>
      </c>
      <c r="BS12" s="24">
        <f t="shared" si="11"/>
        <v>7800000</v>
      </c>
      <c r="BT12" s="24"/>
      <c r="BU12" s="24"/>
      <c r="BV12" s="24"/>
      <c r="BW12" s="24"/>
      <c r="BX12" s="24">
        <f>+'[4]AGOSTO 2016'!$H$546</f>
        <v>7800000</v>
      </c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5">
        <f t="shared" si="12"/>
        <v>0.21999999999999997</v>
      </c>
      <c r="CO12" s="24">
        <f t="shared" si="13"/>
        <v>2200000</v>
      </c>
      <c r="CP12" s="24">
        <f t="shared" si="14"/>
        <v>0</v>
      </c>
      <c r="CQ12" s="24">
        <f t="shared" si="14"/>
        <v>0</v>
      </c>
      <c r="CR12" s="24">
        <f t="shared" si="14"/>
        <v>0</v>
      </c>
      <c r="CS12" s="24">
        <f t="shared" si="14"/>
        <v>2200000</v>
      </c>
      <c r="CT12" s="24">
        <f t="shared" si="14"/>
        <v>0</v>
      </c>
      <c r="CU12" s="24">
        <f t="shared" si="14"/>
        <v>0</v>
      </c>
      <c r="CV12" s="24">
        <f t="shared" si="15"/>
        <v>0</v>
      </c>
      <c r="CW12" s="24">
        <f t="shared" si="15"/>
        <v>0</v>
      </c>
      <c r="CX12" s="24">
        <f t="shared" si="15"/>
        <v>0</v>
      </c>
      <c r="CY12" s="24">
        <f t="shared" si="16"/>
        <v>0</v>
      </c>
      <c r="CZ12" s="24">
        <f t="shared" si="16"/>
        <v>0</v>
      </c>
      <c r="DA12" s="24">
        <f t="shared" si="16"/>
        <v>0</v>
      </c>
      <c r="DB12" s="24">
        <f t="shared" si="17"/>
        <v>0</v>
      </c>
      <c r="DC12" s="24">
        <f t="shared" si="17"/>
        <v>0</v>
      </c>
      <c r="DD12" s="24">
        <f t="shared" si="17"/>
        <v>0</v>
      </c>
      <c r="DE12" s="24"/>
      <c r="DF12" s="24">
        <f t="shared" si="18"/>
        <v>0</v>
      </c>
      <c r="DG12" s="24">
        <f t="shared" si="18"/>
        <v>0</v>
      </c>
      <c r="DH12" s="24">
        <f t="shared" si="18"/>
        <v>0</v>
      </c>
      <c r="DJ12" s="29">
        <f t="shared" si="19"/>
        <v>10000000</v>
      </c>
      <c r="DK12" s="29">
        <f t="shared" si="20"/>
        <v>10000000</v>
      </c>
      <c r="DL12" s="29">
        <f t="shared" si="21"/>
        <v>10000000</v>
      </c>
    </row>
    <row r="13" spans="1:116" ht="81" customHeight="1" x14ac:dyDescent="0.25">
      <c r="A13" s="30"/>
      <c r="B13" s="32" t="s">
        <v>65</v>
      </c>
      <c r="C13" s="20" t="s">
        <v>66</v>
      </c>
      <c r="D13" s="21" t="s">
        <v>67</v>
      </c>
      <c r="E13" s="22">
        <v>510</v>
      </c>
      <c r="F13" s="23" t="s">
        <v>68</v>
      </c>
      <c r="G13" s="24">
        <f t="shared" si="0"/>
        <v>267804662</v>
      </c>
      <c r="H13" s="24"/>
      <c r="I13" s="24"/>
      <c r="J13" s="24"/>
      <c r="K13" s="24">
        <v>160000000</v>
      </c>
      <c r="L13" s="24">
        <v>14004396</v>
      </c>
      <c r="M13" s="24"/>
      <c r="N13" s="24"/>
      <c r="O13" s="24"/>
      <c r="P13" s="24"/>
      <c r="Q13" s="24"/>
      <c r="R13" s="24"/>
      <c r="S13" s="24"/>
      <c r="T13" s="24">
        <v>1796640</v>
      </c>
      <c r="U13" s="24"/>
      <c r="V13" s="24"/>
      <c r="W13" s="24"/>
      <c r="X13" s="24"/>
      <c r="Y13" s="24"/>
      <c r="Z13" s="24">
        <f>48000000+2053626+3000000+450000+19500000+7000000+10000000+2000000</f>
        <v>92003626</v>
      </c>
      <c r="AA13" s="25">
        <f t="shared" si="1"/>
        <v>0.93376113818362128</v>
      </c>
      <c r="AB13" s="24">
        <f t="shared" si="2"/>
        <v>250065586</v>
      </c>
      <c r="AC13" s="24"/>
      <c r="AD13" s="24"/>
      <c r="AE13" s="24"/>
      <c r="AF13" s="24"/>
      <c r="AG13" s="24">
        <v>160000000</v>
      </c>
      <c r="AH13" s="24">
        <f>+'[3]FEBRERO 2016'!$P$697</f>
        <v>14004396</v>
      </c>
      <c r="AI13" s="24"/>
      <c r="AJ13" s="24"/>
      <c r="AK13" s="24"/>
      <c r="AL13" s="24"/>
      <c r="AM13" s="24"/>
      <c r="AN13" s="24"/>
      <c r="AO13" s="24"/>
      <c r="AP13" s="24">
        <f>+'[3]FEBRERO 2016'!$X$699</f>
        <v>1796640</v>
      </c>
      <c r="AQ13" s="24"/>
      <c r="AR13" s="24"/>
      <c r="AS13" s="24"/>
      <c r="AT13" s="24"/>
      <c r="AU13" s="24"/>
      <c r="AV13" s="24">
        <f>+'[1]SEPTIEMBRE 2016'!$AG$2676</f>
        <v>74264550</v>
      </c>
      <c r="AW13" s="25">
        <f t="shared" si="3"/>
        <v>6.6238861816378725E-2</v>
      </c>
      <c r="AX13" s="24">
        <f t="shared" si="4"/>
        <v>17739076</v>
      </c>
      <c r="AY13" s="24">
        <f t="shared" si="22"/>
        <v>0</v>
      </c>
      <c r="AZ13" s="24">
        <f t="shared" si="6"/>
        <v>0</v>
      </c>
      <c r="BA13" s="24">
        <f t="shared" si="6"/>
        <v>0</v>
      </c>
      <c r="BB13" s="24">
        <f t="shared" si="7"/>
        <v>0</v>
      </c>
      <c r="BC13" s="24">
        <f t="shared" si="7"/>
        <v>0</v>
      </c>
      <c r="BD13" s="24">
        <f t="shared" si="7"/>
        <v>0</v>
      </c>
      <c r="BE13" s="24">
        <f t="shared" si="7"/>
        <v>0</v>
      </c>
      <c r="BF13" s="24">
        <f t="shared" si="7"/>
        <v>0</v>
      </c>
      <c r="BG13" s="24">
        <f t="shared" si="7"/>
        <v>0</v>
      </c>
      <c r="BH13" s="24">
        <f t="shared" si="7"/>
        <v>0</v>
      </c>
      <c r="BI13" s="24">
        <f t="shared" si="7"/>
        <v>0</v>
      </c>
      <c r="BJ13" s="24">
        <f t="shared" si="7"/>
        <v>0</v>
      </c>
      <c r="BK13" s="24">
        <f t="shared" si="7"/>
        <v>0</v>
      </c>
      <c r="BL13" s="24">
        <f t="shared" si="7"/>
        <v>0</v>
      </c>
      <c r="BM13" s="24">
        <f t="shared" si="7"/>
        <v>0</v>
      </c>
      <c r="BN13" s="24"/>
      <c r="BO13" s="24"/>
      <c r="BP13" s="24">
        <f t="shared" si="8"/>
        <v>0</v>
      </c>
      <c r="BQ13" s="24">
        <f t="shared" si="9"/>
        <v>17739076</v>
      </c>
      <c r="BR13" s="25">
        <f t="shared" si="10"/>
        <v>0.89545926201986725</v>
      </c>
      <c r="BS13" s="24">
        <f t="shared" si="11"/>
        <v>239808165</v>
      </c>
      <c r="BT13" s="24"/>
      <c r="BU13" s="24"/>
      <c r="BV13" s="24"/>
      <c r="BW13" s="24"/>
      <c r="BX13" s="24">
        <f>+'[1]SEPTIEMBRE 2016'!$H$2674-BY13-CG13-CM13</f>
        <v>149989067</v>
      </c>
      <c r="BY13" s="24">
        <f>+'[7]MAYO 2016'!$H$1359</f>
        <v>14004396</v>
      </c>
      <c r="BZ13" s="24"/>
      <c r="CA13" s="24"/>
      <c r="CB13" s="24"/>
      <c r="CC13" s="24"/>
      <c r="CD13" s="24"/>
      <c r="CE13" s="24"/>
      <c r="CF13" s="24"/>
      <c r="CG13" s="24">
        <f>+'[7]MAYO 2016'!$H$1361</f>
        <v>1796640</v>
      </c>
      <c r="CH13" s="24"/>
      <c r="CI13" s="24"/>
      <c r="CJ13" s="24"/>
      <c r="CK13" s="24"/>
      <c r="CL13" s="24"/>
      <c r="CM13" s="24">
        <f>+'[1]SEPTIEMBRE 2016'!$H$2685+'[1]SEPTIEMBRE 2016'!$H$2693+'[1]SEPTIEMBRE 2016'!$H$2696+'[1]SEPTIEMBRE 2016'!$H$2699+'[1]SEPTIEMBRE 2016'!$H$2703+'[1]SEPTIEMBRE 2016'!$H$2705+'[1]SEPTIEMBRE 2016'!$H$2707+'[1]SEPTIEMBRE 2016'!$H$2727+'[1]SEPTIEMBRE 2016'!$H$2728+'[1]SEPTIEMBRE 2016'!$H$2736+'[1]SEPTIEMBRE 2016'!$H$2740+'[1]SEPTIEMBRE 2016'!$H$2741+'[1]SEPTIEMBRE 2016'!$H$2743+'[1]SEPTIEMBRE 2016'!$H$2757</f>
        <v>74018062</v>
      </c>
      <c r="CN13" s="25">
        <f t="shared" si="12"/>
        <v>0.10454073798013275</v>
      </c>
      <c r="CO13" s="24">
        <f t="shared" si="13"/>
        <v>27996497</v>
      </c>
      <c r="CP13" s="24">
        <f t="shared" si="14"/>
        <v>0</v>
      </c>
      <c r="CQ13" s="24">
        <f t="shared" si="14"/>
        <v>0</v>
      </c>
      <c r="CR13" s="24">
        <f t="shared" si="14"/>
        <v>0</v>
      </c>
      <c r="CS13" s="24">
        <f t="shared" si="14"/>
        <v>10010933</v>
      </c>
      <c r="CT13" s="24">
        <f t="shared" si="14"/>
        <v>0</v>
      </c>
      <c r="CU13" s="24">
        <f t="shared" si="14"/>
        <v>0</v>
      </c>
      <c r="CV13" s="24">
        <f t="shared" si="15"/>
        <v>0</v>
      </c>
      <c r="CW13" s="24">
        <f t="shared" si="15"/>
        <v>0</v>
      </c>
      <c r="CX13" s="24">
        <f t="shared" si="15"/>
        <v>0</v>
      </c>
      <c r="CY13" s="24">
        <f t="shared" si="16"/>
        <v>0</v>
      </c>
      <c r="CZ13" s="24">
        <f t="shared" si="16"/>
        <v>0</v>
      </c>
      <c r="DA13" s="24">
        <f t="shared" si="16"/>
        <v>0</v>
      </c>
      <c r="DB13" s="24">
        <f t="shared" si="17"/>
        <v>0</v>
      </c>
      <c r="DC13" s="24">
        <f t="shared" si="17"/>
        <v>0</v>
      </c>
      <c r="DD13" s="24">
        <f t="shared" si="17"/>
        <v>0</v>
      </c>
      <c r="DE13" s="24"/>
      <c r="DF13" s="24">
        <f t="shared" si="18"/>
        <v>0</v>
      </c>
      <c r="DG13" s="24">
        <f t="shared" si="18"/>
        <v>0</v>
      </c>
      <c r="DH13" s="24">
        <f t="shared" si="18"/>
        <v>17985564</v>
      </c>
      <c r="DJ13" s="29">
        <f t="shared" si="19"/>
        <v>267804662</v>
      </c>
      <c r="DK13" s="29">
        <f t="shared" si="20"/>
        <v>267804662</v>
      </c>
      <c r="DL13" s="29">
        <f t="shared" si="21"/>
        <v>267804662</v>
      </c>
    </row>
    <row r="14" spans="1:116" ht="48" customHeight="1" x14ac:dyDescent="0.25">
      <c r="A14" s="30"/>
      <c r="B14" s="214" t="s">
        <v>69</v>
      </c>
      <c r="C14" s="20" t="s">
        <v>70</v>
      </c>
      <c r="D14" s="21" t="s">
        <v>71</v>
      </c>
      <c r="E14" s="22">
        <v>510</v>
      </c>
      <c r="F14" s="23" t="s">
        <v>43</v>
      </c>
      <c r="G14" s="24">
        <f t="shared" si="0"/>
        <v>65000000</v>
      </c>
      <c r="H14" s="24"/>
      <c r="I14" s="24"/>
      <c r="J14" s="24"/>
      <c r="K14" s="24">
        <v>65000000</v>
      </c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5">
        <f t="shared" si="1"/>
        <v>0.90550324615384614</v>
      </c>
      <c r="AB14" s="24">
        <f t="shared" si="2"/>
        <v>58857711</v>
      </c>
      <c r="AC14" s="24"/>
      <c r="AD14" s="24"/>
      <c r="AE14" s="24"/>
      <c r="AF14" s="24"/>
      <c r="AG14" s="24">
        <f>+'[4]AGOSTO 2016'!$O$2340</f>
        <v>58857711</v>
      </c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5">
        <f t="shared" si="3"/>
        <v>9.4496753846153858E-2</v>
      </c>
      <c r="AX14" s="24">
        <f t="shared" si="4"/>
        <v>6142289</v>
      </c>
      <c r="AY14" s="24">
        <f t="shared" si="22"/>
        <v>0</v>
      </c>
      <c r="AZ14" s="24">
        <f t="shared" si="6"/>
        <v>0</v>
      </c>
      <c r="BA14" s="24">
        <f t="shared" si="6"/>
        <v>0</v>
      </c>
      <c r="BB14" s="24">
        <f t="shared" si="7"/>
        <v>6142289</v>
      </c>
      <c r="BC14" s="24">
        <f t="shared" si="7"/>
        <v>0</v>
      </c>
      <c r="BD14" s="24">
        <f t="shared" si="7"/>
        <v>0</v>
      </c>
      <c r="BE14" s="24">
        <f t="shared" si="7"/>
        <v>0</v>
      </c>
      <c r="BF14" s="24">
        <f t="shared" si="7"/>
        <v>0</v>
      </c>
      <c r="BG14" s="24">
        <f t="shared" si="7"/>
        <v>0</v>
      </c>
      <c r="BH14" s="24">
        <f t="shared" si="7"/>
        <v>0</v>
      </c>
      <c r="BI14" s="24">
        <f t="shared" si="7"/>
        <v>0</v>
      </c>
      <c r="BJ14" s="24">
        <f t="shared" si="7"/>
        <v>0</v>
      </c>
      <c r="BK14" s="24">
        <f t="shared" si="7"/>
        <v>0</v>
      </c>
      <c r="BL14" s="24">
        <f t="shared" si="7"/>
        <v>0</v>
      </c>
      <c r="BM14" s="24">
        <f t="shared" si="7"/>
        <v>0</v>
      </c>
      <c r="BN14" s="24"/>
      <c r="BO14" s="24">
        <f>+X14-AT14</f>
        <v>0</v>
      </c>
      <c r="BP14" s="24">
        <f t="shared" si="8"/>
        <v>0</v>
      </c>
      <c r="BQ14" s="24">
        <f t="shared" si="9"/>
        <v>0</v>
      </c>
      <c r="BR14" s="25">
        <f t="shared" si="10"/>
        <v>0.84347380000000005</v>
      </c>
      <c r="BS14" s="24">
        <f t="shared" si="11"/>
        <v>54825797</v>
      </c>
      <c r="BT14" s="24"/>
      <c r="BU14" s="24"/>
      <c r="BV14" s="24"/>
      <c r="BW14" s="24"/>
      <c r="BX14" s="24">
        <f>+'[1]SEPTIEMBRE 2016'!$H$2761</f>
        <v>54825797</v>
      </c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5">
        <f>1-BR14</f>
        <v>0.15652619999999995</v>
      </c>
      <c r="CO14" s="24">
        <f t="shared" si="13"/>
        <v>10174203</v>
      </c>
      <c r="CP14" s="24">
        <f t="shared" si="14"/>
        <v>0</v>
      </c>
      <c r="CQ14" s="24">
        <f t="shared" si="14"/>
        <v>0</v>
      </c>
      <c r="CR14" s="24">
        <f t="shared" si="14"/>
        <v>0</v>
      </c>
      <c r="CS14" s="24">
        <f t="shared" si="14"/>
        <v>10174203</v>
      </c>
      <c r="CT14" s="24">
        <f t="shared" si="14"/>
        <v>0</v>
      </c>
      <c r="CU14" s="24">
        <f t="shared" si="14"/>
        <v>0</v>
      </c>
      <c r="CV14" s="24">
        <f t="shared" si="15"/>
        <v>0</v>
      </c>
      <c r="CW14" s="24">
        <f t="shared" si="15"/>
        <v>0</v>
      </c>
      <c r="CX14" s="24">
        <f t="shared" si="15"/>
        <v>0</v>
      </c>
      <c r="CY14" s="24">
        <f t="shared" si="16"/>
        <v>0</v>
      </c>
      <c r="CZ14" s="24">
        <f t="shared" si="16"/>
        <v>0</v>
      </c>
      <c r="DA14" s="24">
        <f t="shared" si="16"/>
        <v>0</v>
      </c>
      <c r="DB14" s="24">
        <f t="shared" si="17"/>
        <v>0</v>
      </c>
      <c r="DC14" s="24">
        <f t="shared" si="17"/>
        <v>0</v>
      </c>
      <c r="DD14" s="24">
        <f t="shared" si="17"/>
        <v>0</v>
      </c>
      <c r="DE14" s="24"/>
      <c r="DF14" s="24">
        <f t="shared" si="18"/>
        <v>0</v>
      </c>
      <c r="DG14" s="24">
        <f t="shared" si="18"/>
        <v>0</v>
      </c>
      <c r="DH14" s="24">
        <f t="shared" si="18"/>
        <v>0</v>
      </c>
      <c r="DJ14" s="29">
        <f t="shared" si="19"/>
        <v>65000000</v>
      </c>
      <c r="DK14" s="29">
        <f t="shared" si="20"/>
        <v>65000000</v>
      </c>
      <c r="DL14" s="29">
        <f t="shared" si="21"/>
        <v>65000000</v>
      </c>
    </row>
    <row r="15" spans="1:116" ht="45" x14ac:dyDescent="0.25">
      <c r="A15" s="30"/>
      <c r="B15" s="227"/>
      <c r="C15" s="20" t="s">
        <v>72</v>
      </c>
      <c r="D15" s="21" t="s">
        <v>73</v>
      </c>
      <c r="E15" s="22">
        <v>510</v>
      </c>
      <c r="F15" s="23" t="s">
        <v>43</v>
      </c>
      <c r="G15" s="24">
        <f t="shared" si="0"/>
        <v>32000000</v>
      </c>
      <c r="H15" s="24"/>
      <c r="I15" s="24"/>
      <c r="J15" s="24"/>
      <c r="K15" s="24">
        <v>1568554</v>
      </c>
      <c r="L15" s="24"/>
      <c r="M15" s="24"/>
      <c r="N15" s="24"/>
      <c r="O15" s="24"/>
      <c r="P15" s="24"/>
      <c r="Q15" s="24"/>
      <c r="R15" s="24"/>
      <c r="S15" s="24">
        <v>30431446</v>
      </c>
      <c r="T15" s="24"/>
      <c r="U15" s="24"/>
      <c r="V15" s="24"/>
      <c r="W15" s="24"/>
      <c r="X15" s="24"/>
      <c r="Y15" s="24"/>
      <c r="Z15" s="24"/>
      <c r="AA15" s="25">
        <f t="shared" si="1"/>
        <v>0.77308631250000004</v>
      </c>
      <c r="AB15" s="24">
        <f t="shared" si="2"/>
        <v>24738762</v>
      </c>
      <c r="AC15" s="24"/>
      <c r="AD15" s="24"/>
      <c r="AE15" s="24"/>
      <c r="AF15" s="24"/>
      <c r="AG15" s="24">
        <f>+'[7]MAYO 2016'!$O$1393</f>
        <v>1550000</v>
      </c>
      <c r="AH15" s="24"/>
      <c r="AI15" s="24"/>
      <c r="AJ15" s="24"/>
      <c r="AK15" s="24"/>
      <c r="AL15" s="24"/>
      <c r="AM15" s="24"/>
      <c r="AN15" s="24"/>
      <c r="AO15" s="24">
        <f>+'[4]AGOSTO 2016'!$W$2380</f>
        <v>23188762</v>
      </c>
      <c r="AP15" s="24"/>
      <c r="AQ15" s="24"/>
      <c r="AR15" s="24"/>
      <c r="AS15" s="24"/>
      <c r="AT15" s="24"/>
      <c r="AU15" s="24"/>
      <c r="AV15" s="24"/>
      <c r="AW15" s="25">
        <f t="shared" si="3"/>
        <v>0.22691368749999996</v>
      </c>
      <c r="AX15" s="24">
        <f t="shared" si="4"/>
        <v>7261238</v>
      </c>
      <c r="AY15" s="24">
        <f t="shared" si="22"/>
        <v>0</v>
      </c>
      <c r="AZ15" s="24">
        <f t="shared" si="6"/>
        <v>0</v>
      </c>
      <c r="BA15" s="24">
        <f t="shared" si="6"/>
        <v>0</v>
      </c>
      <c r="BB15" s="24">
        <f t="shared" si="7"/>
        <v>18554</v>
      </c>
      <c r="BC15" s="24">
        <f t="shared" si="7"/>
        <v>0</v>
      </c>
      <c r="BD15" s="24">
        <f t="shared" si="7"/>
        <v>0</v>
      </c>
      <c r="BE15" s="24">
        <f t="shared" si="7"/>
        <v>0</v>
      </c>
      <c r="BF15" s="24">
        <f t="shared" si="7"/>
        <v>0</v>
      </c>
      <c r="BG15" s="24">
        <f t="shared" si="7"/>
        <v>0</v>
      </c>
      <c r="BH15" s="24">
        <f t="shared" si="7"/>
        <v>0</v>
      </c>
      <c r="BI15" s="24">
        <f t="shared" si="7"/>
        <v>0</v>
      </c>
      <c r="BJ15" s="24">
        <f t="shared" si="7"/>
        <v>7242684</v>
      </c>
      <c r="BK15" s="24">
        <f t="shared" si="7"/>
        <v>0</v>
      </c>
      <c r="BL15" s="24">
        <f t="shared" si="7"/>
        <v>0</v>
      </c>
      <c r="BM15" s="24">
        <f t="shared" si="7"/>
        <v>0</v>
      </c>
      <c r="BN15" s="24"/>
      <c r="BO15" s="24"/>
      <c r="BP15" s="24">
        <f t="shared" si="8"/>
        <v>0</v>
      </c>
      <c r="BQ15" s="24">
        <f t="shared" si="9"/>
        <v>0</v>
      </c>
      <c r="BR15" s="25">
        <f t="shared" si="10"/>
        <v>0.7727571875</v>
      </c>
      <c r="BS15" s="24">
        <f t="shared" si="11"/>
        <v>24728230</v>
      </c>
      <c r="BT15" s="24"/>
      <c r="BU15" s="24"/>
      <c r="BV15" s="24"/>
      <c r="BW15" s="24"/>
      <c r="BX15" s="24">
        <f>+'[7]MAYO 2016'!$O$1397</f>
        <v>1550000</v>
      </c>
      <c r="BY15" s="24"/>
      <c r="BZ15" s="24"/>
      <c r="CA15" s="24"/>
      <c r="CB15" s="24"/>
      <c r="CC15" s="24"/>
      <c r="CD15" s="24"/>
      <c r="CE15" s="24"/>
      <c r="CF15" s="24">
        <f>+'[4]AGOSTO 2016'!$H$2378-BX15</f>
        <v>23178230</v>
      </c>
      <c r="CG15" s="24"/>
      <c r="CH15" s="24"/>
      <c r="CI15" s="24"/>
      <c r="CJ15" s="24"/>
      <c r="CK15" s="24"/>
      <c r="CL15" s="24"/>
      <c r="CM15" s="24"/>
      <c r="CN15" s="25">
        <f t="shared" si="12"/>
        <v>0.2272428125</v>
      </c>
      <c r="CO15" s="24">
        <f t="shared" si="13"/>
        <v>7271770</v>
      </c>
      <c r="CP15" s="24">
        <f t="shared" si="14"/>
        <v>0</v>
      </c>
      <c r="CQ15" s="24">
        <f t="shared" si="14"/>
        <v>0</v>
      </c>
      <c r="CR15" s="24">
        <f t="shared" si="14"/>
        <v>0</v>
      </c>
      <c r="CS15" s="24">
        <f t="shared" si="14"/>
        <v>18554</v>
      </c>
      <c r="CT15" s="24">
        <f t="shared" si="14"/>
        <v>0</v>
      </c>
      <c r="CU15" s="24">
        <f t="shared" si="14"/>
        <v>0</v>
      </c>
      <c r="CV15" s="24">
        <f t="shared" si="15"/>
        <v>0</v>
      </c>
      <c r="CW15" s="24">
        <f t="shared" si="15"/>
        <v>0</v>
      </c>
      <c r="CX15" s="24">
        <f t="shared" si="15"/>
        <v>0</v>
      </c>
      <c r="CY15" s="24">
        <f t="shared" si="16"/>
        <v>0</v>
      </c>
      <c r="CZ15" s="24">
        <f t="shared" si="16"/>
        <v>0</v>
      </c>
      <c r="DA15" s="24">
        <f t="shared" si="16"/>
        <v>7253216</v>
      </c>
      <c r="DB15" s="24">
        <f t="shared" si="17"/>
        <v>0</v>
      </c>
      <c r="DC15" s="24">
        <f t="shared" si="17"/>
        <v>0</v>
      </c>
      <c r="DD15" s="24">
        <f t="shared" si="17"/>
        <v>0</v>
      </c>
      <c r="DE15" s="24"/>
      <c r="DF15" s="24">
        <f t="shared" si="18"/>
        <v>0</v>
      </c>
      <c r="DG15" s="24">
        <f t="shared" si="18"/>
        <v>0</v>
      </c>
      <c r="DH15" s="24">
        <f t="shared" si="18"/>
        <v>0</v>
      </c>
      <c r="DJ15" s="29">
        <f t="shared" si="19"/>
        <v>32000000</v>
      </c>
      <c r="DK15" s="29">
        <f t="shared" si="20"/>
        <v>32000000</v>
      </c>
      <c r="DL15" s="29">
        <f t="shared" si="21"/>
        <v>32000000</v>
      </c>
    </row>
    <row r="16" spans="1:116" ht="20.25" customHeight="1" x14ac:dyDescent="0.25">
      <c r="A16" s="30"/>
      <c r="B16" s="215"/>
      <c r="C16" s="20" t="s">
        <v>74</v>
      </c>
      <c r="D16" s="21" t="s">
        <v>75</v>
      </c>
      <c r="E16" s="22">
        <v>510</v>
      </c>
      <c r="F16" s="23" t="s">
        <v>76</v>
      </c>
      <c r="G16" s="24">
        <f t="shared" si="0"/>
        <v>0</v>
      </c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>
        <f>4000000-4000000</f>
        <v>0</v>
      </c>
      <c r="AA16" s="25" t="e">
        <f t="shared" si="1"/>
        <v>#DIV/0!</v>
      </c>
      <c r="AB16" s="24">
        <f t="shared" si="2"/>
        <v>0</v>
      </c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5" t="e">
        <f t="shared" si="3"/>
        <v>#DIV/0!</v>
      </c>
      <c r="AX16" s="24">
        <f t="shared" si="4"/>
        <v>0</v>
      </c>
      <c r="AY16" s="24">
        <f t="shared" si="22"/>
        <v>0</v>
      </c>
      <c r="AZ16" s="24">
        <f t="shared" si="6"/>
        <v>0</v>
      </c>
      <c r="BA16" s="24">
        <f t="shared" si="6"/>
        <v>0</v>
      </c>
      <c r="BB16" s="24">
        <f t="shared" si="7"/>
        <v>0</v>
      </c>
      <c r="BC16" s="24">
        <f t="shared" si="7"/>
        <v>0</v>
      </c>
      <c r="BD16" s="24">
        <f t="shared" si="7"/>
        <v>0</v>
      </c>
      <c r="BE16" s="24">
        <f t="shared" si="7"/>
        <v>0</v>
      </c>
      <c r="BF16" s="24">
        <f t="shared" si="7"/>
        <v>0</v>
      </c>
      <c r="BG16" s="24">
        <f t="shared" si="7"/>
        <v>0</v>
      </c>
      <c r="BH16" s="24">
        <f t="shared" si="7"/>
        <v>0</v>
      </c>
      <c r="BI16" s="24">
        <f t="shared" si="7"/>
        <v>0</v>
      </c>
      <c r="BJ16" s="24">
        <f t="shared" si="7"/>
        <v>0</v>
      </c>
      <c r="BK16" s="24">
        <f t="shared" si="7"/>
        <v>0</v>
      </c>
      <c r="BL16" s="24">
        <f t="shared" si="7"/>
        <v>0</v>
      </c>
      <c r="BM16" s="24">
        <f t="shared" si="7"/>
        <v>0</v>
      </c>
      <c r="BN16" s="24"/>
      <c r="BO16" s="24"/>
      <c r="BP16" s="24">
        <f t="shared" si="8"/>
        <v>0</v>
      </c>
      <c r="BQ16" s="24">
        <f t="shared" si="9"/>
        <v>0</v>
      </c>
      <c r="BR16" s="25" t="e">
        <f t="shared" si="10"/>
        <v>#DIV/0!</v>
      </c>
      <c r="BS16" s="24">
        <f t="shared" si="11"/>
        <v>0</v>
      </c>
      <c r="BT16" s="24"/>
      <c r="BU16" s="24"/>
      <c r="BV16" s="24"/>
      <c r="BW16" s="24"/>
      <c r="BX16" s="24"/>
      <c r="BY16" s="24"/>
      <c r="BZ16" s="24"/>
      <c r="CA16" s="24"/>
      <c r="CB16" s="24"/>
      <c r="CC16" s="24"/>
      <c r="CD16" s="24"/>
      <c r="CE16" s="24"/>
      <c r="CF16" s="24"/>
      <c r="CG16" s="24"/>
      <c r="CH16" s="24"/>
      <c r="CI16" s="24"/>
      <c r="CJ16" s="24"/>
      <c r="CK16" s="24"/>
      <c r="CL16" s="24"/>
      <c r="CM16" s="24"/>
      <c r="CN16" s="25" t="e">
        <f t="shared" si="12"/>
        <v>#DIV/0!</v>
      </c>
      <c r="CO16" s="24">
        <f t="shared" si="13"/>
        <v>0</v>
      </c>
      <c r="CP16" s="24">
        <f t="shared" si="14"/>
        <v>0</v>
      </c>
      <c r="CQ16" s="24">
        <f t="shared" si="14"/>
        <v>0</v>
      </c>
      <c r="CR16" s="24">
        <f t="shared" si="14"/>
        <v>0</v>
      </c>
      <c r="CS16" s="24">
        <f t="shared" si="14"/>
        <v>0</v>
      </c>
      <c r="CT16" s="24">
        <f t="shared" si="14"/>
        <v>0</v>
      </c>
      <c r="CU16" s="24">
        <f t="shared" si="14"/>
        <v>0</v>
      </c>
      <c r="CV16" s="24">
        <f t="shared" si="15"/>
        <v>0</v>
      </c>
      <c r="CW16" s="24">
        <f t="shared" si="15"/>
        <v>0</v>
      </c>
      <c r="CX16" s="24">
        <f t="shared" si="15"/>
        <v>0</v>
      </c>
      <c r="CY16" s="24">
        <f t="shared" si="16"/>
        <v>0</v>
      </c>
      <c r="CZ16" s="24">
        <f t="shared" si="16"/>
        <v>0</v>
      </c>
      <c r="DA16" s="24">
        <f t="shared" si="16"/>
        <v>0</v>
      </c>
      <c r="DB16" s="24">
        <f t="shared" si="17"/>
        <v>0</v>
      </c>
      <c r="DC16" s="24">
        <f t="shared" si="17"/>
        <v>0</v>
      </c>
      <c r="DD16" s="24">
        <f t="shared" si="17"/>
        <v>0</v>
      </c>
      <c r="DE16" s="24"/>
      <c r="DF16" s="24">
        <f t="shared" si="18"/>
        <v>0</v>
      </c>
      <c r="DG16" s="24">
        <f t="shared" si="18"/>
        <v>0</v>
      </c>
      <c r="DH16" s="24">
        <f t="shared" si="18"/>
        <v>0</v>
      </c>
      <c r="DJ16" s="29">
        <f t="shared" si="19"/>
        <v>0</v>
      </c>
      <c r="DK16" s="29">
        <f t="shared" si="20"/>
        <v>0</v>
      </c>
      <c r="DL16" s="29">
        <f t="shared" si="21"/>
        <v>0</v>
      </c>
    </row>
    <row r="17" spans="1:116" ht="26.25" customHeight="1" x14ac:dyDescent="0.25">
      <c r="A17" s="30"/>
      <c r="B17" s="34" t="s">
        <v>77</v>
      </c>
      <c r="C17" s="20" t="s">
        <v>78</v>
      </c>
      <c r="D17" s="21" t="s">
        <v>79</v>
      </c>
      <c r="E17" s="22">
        <v>510</v>
      </c>
      <c r="F17" s="23" t="s">
        <v>43</v>
      </c>
      <c r="G17" s="24">
        <f t="shared" si="0"/>
        <v>30800000</v>
      </c>
      <c r="H17" s="24"/>
      <c r="I17" s="24"/>
      <c r="J17" s="24"/>
      <c r="K17" s="24">
        <f>30800000</f>
        <v>30800000</v>
      </c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5">
        <f t="shared" si="1"/>
        <v>1</v>
      </c>
      <c r="AB17" s="24">
        <f t="shared" si="2"/>
        <v>30800000</v>
      </c>
      <c r="AC17" s="24"/>
      <c r="AD17" s="24"/>
      <c r="AE17" s="24"/>
      <c r="AF17" s="24"/>
      <c r="AG17" s="24">
        <f>+'[6]JUNIO 2016'!$O$1629</f>
        <v>30800000</v>
      </c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5">
        <f t="shared" si="3"/>
        <v>0</v>
      </c>
      <c r="AX17" s="24">
        <f t="shared" si="4"/>
        <v>0</v>
      </c>
      <c r="AY17" s="24">
        <f>+H17</f>
        <v>0</v>
      </c>
      <c r="AZ17" s="24">
        <f>+I17</f>
        <v>0</v>
      </c>
      <c r="BA17" s="24">
        <f>+J17</f>
        <v>0</v>
      </c>
      <c r="BB17" s="24">
        <f>+K17-AG17</f>
        <v>0</v>
      </c>
      <c r="BC17" s="24">
        <f t="shared" ref="BC17:BM17" si="23">+L17</f>
        <v>0</v>
      </c>
      <c r="BD17" s="24">
        <f t="shared" si="23"/>
        <v>0</v>
      </c>
      <c r="BE17" s="24">
        <f t="shared" si="23"/>
        <v>0</v>
      </c>
      <c r="BF17" s="24">
        <f t="shared" si="23"/>
        <v>0</v>
      </c>
      <c r="BG17" s="24">
        <f t="shared" si="23"/>
        <v>0</v>
      </c>
      <c r="BH17" s="24">
        <f t="shared" si="23"/>
        <v>0</v>
      </c>
      <c r="BI17" s="24">
        <f t="shared" si="23"/>
        <v>0</v>
      </c>
      <c r="BJ17" s="24">
        <f t="shared" si="23"/>
        <v>0</v>
      </c>
      <c r="BK17" s="24">
        <f t="shared" si="23"/>
        <v>0</v>
      </c>
      <c r="BL17" s="24">
        <f t="shared" si="23"/>
        <v>0</v>
      </c>
      <c r="BM17" s="24">
        <f t="shared" si="23"/>
        <v>0</v>
      </c>
      <c r="BN17" s="24"/>
      <c r="BO17" s="24">
        <f>+X17</f>
        <v>0</v>
      </c>
      <c r="BP17" s="24">
        <f>+Y17</f>
        <v>0</v>
      </c>
      <c r="BQ17" s="24">
        <f>+Z17</f>
        <v>0</v>
      </c>
      <c r="BR17" s="25">
        <f t="shared" si="10"/>
        <v>0.6428571428571429</v>
      </c>
      <c r="BS17" s="24">
        <f t="shared" si="11"/>
        <v>19800000</v>
      </c>
      <c r="BT17" s="24"/>
      <c r="BU17" s="24"/>
      <c r="BV17" s="24"/>
      <c r="BW17" s="24"/>
      <c r="BX17" s="24">
        <f>+'[5]JULIO 2016'!$H$1796</f>
        <v>19800000</v>
      </c>
      <c r="BY17" s="24"/>
      <c r="BZ17" s="24"/>
      <c r="CA17" s="24"/>
      <c r="CB17" s="24"/>
      <c r="CC17" s="24"/>
      <c r="CD17" s="24"/>
      <c r="CE17" s="24"/>
      <c r="CF17" s="24"/>
      <c r="CG17" s="24"/>
      <c r="CH17" s="24"/>
      <c r="CI17" s="24"/>
      <c r="CJ17" s="24"/>
      <c r="CK17" s="24"/>
      <c r="CL17" s="24"/>
      <c r="CM17" s="24"/>
      <c r="CN17" s="25">
        <f t="shared" si="12"/>
        <v>0.3571428571428571</v>
      </c>
      <c r="CO17" s="24">
        <f t="shared" si="13"/>
        <v>11000000</v>
      </c>
      <c r="CP17" s="24">
        <f t="shared" si="14"/>
        <v>0</v>
      </c>
      <c r="CQ17" s="24">
        <f t="shared" si="14"/>
        <v>0</v>
      </c>
      <c r="CR17" s="24">
        <f t="shared" si="14"/>
        <v>0</v>
      </c>
      <c r="CS17" s="24">
        <f t="shared" si="14"/>
        <v>11000000</v>
      </c>
      <c r="CT17" s="24">
        <f t="shared" si="14"/>
        <v>0</v>
      </c>
      <c r="CU17" s="24">
        <f t="shared" si="14"/>
        <v>0</v>
      </c>
      <c r="CV17" s="24">
        <f>N17-CA17</f>
        <v>0</v>
      </c>
      <c r="CW17" s="24">
        <f>O17-CB17</f>
        <v>0</v>
      </c>
      <c r="CX17" s="24">
        <f>P17-CC17</f>
        <v>0</v>
      </c>
      <c r="CY17" s="24">
        <f t="shared" si="16"/>
        <v>0</v>
      </c>
      <c r="CZ17" s="24">
        <f t="shared" si="16"/>
        <v>0</v>
      </c>
      <c r="DA17" s="24">
        <f t="shared" si="16"/>
        <v>0</v>
      </c>
      <c r="DB17" s="24">
        <f>T17-CG17</f>
        <v>0</v>
      </c>
      <c r="DC17" s="24">
        <f>U17-CH17</f>
        <v>0</v>
      </c>
      <c r="DD17" s="24">
        <f>V17-CI17</f>
        <v>0</v>
      </c>
      <c r="DE17" s="24"/>
      <c r="DF17" s="24">
        <f>X17-CK17</f>
        <v>0</v>
      </c>
      <c r="DG17" s="24">
        <f>Y17-CL17</f>
        <v>0</v>
      </c>
      <c r="DH17" s="24">
        <f>Z17-CM17</f>
        <v>0</v>
      </c>
      <c r="DJ17" s="29">
        <f t="shared" si="19"/>
        <v>30800000</v>
      </c>
      <c r="DK17" s="29">
        <f t="shared" si="20"/>
        <v>30800000</v>
      </c>
      <c r="DL17" s="29">
        <f t="shared" si="21"/>
        <v>30800000</v>
      </c>
    </row>
    <row r="18" spans="1:116" ht="30" x14ac:dyDescent="0.25">
      <c r="A18" s="30"/>
      <c r="B18" s="214" t="s">
        <v>80</v>
      </c>
      <c r="C18" s="20" t="s">
        <v>81</v>
      </c>
      <c r="D18" s="21" t="s">
        <v>82</v>
      </c>
      <c r="E18" s="22">
        <v>510</v>
      </c>
      <c r="F18" s="23" t="s">
        <v>43</v>
      </c>
      <c r="G18" s="24">
        <f t="shared" si="0"/>
        <v>9057037</v>
      </c>
      <c r="H18" s="24"/>
      <c r="I18" s="24"/>
      <c r="J18" s="24"/>
      <c r="K18" s="24">
        <f>17000000-7942963</f>
        <v>9057037</v>
      </c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5">
        <f t="shared" si="1"/>
        <v>1</v>
      </c>
      <c r="AB18" s="24">
        <f t="shared" si="2"/>
        <v>9057037</v>
      </c>
      <c r="AC18" s="24"/>
      <c r="AD18" s="24"/>
      <c r="AE18" s="24"/>
      <c r="AF18" s="24"/>
      <c r="AG18" s="24">
        <f>+'[5]JULIO 2016'!$O$1808</f>
        <v>9057037</v>
      </c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5">
        <f t="shared" si="3"/>
        <v>0</v>
      </c>
      <c r="AX18" s="24">
        <f t="shared" si="4"/>
        <v>0</v>
      </c>
      <c r="AY18" s="24">
        <f t="shared" ref="AY18:BA19" si="24">H18-AD18</f>
        <v>0</v>
      </c>
      <c r="AZ18" s="24">
        <f t="shared" si="24"/>
        <v>0</v>
      </c>
      <c r="BA18" s="24">
        <f t="shared" si="24"/>
        <v>0</v>
      </c>
      <c r="BB18" s="24">
        <f>+K18-AG18</f>
        <v>0</v>
      </c>
      <c r="BC18" s="24">
        <f t="shared" ref="BC18:BM19" si="25">+L18-AH18</f>
        <v>0</v>
      </c>
      <c r="BD18" s="24">
        <f t="shared" si="25"/>
        <v>0</v>
      </c>
      <c r="BE18" s="24">
        <f t="shared" si="25"/>
        <v>0</v>
      </c>
      <c r="BF18" s="24">
        <f t="shared" si="25"/>
        <v>0</v>
      </c>
      <c r="BG18" s="24">
        <f t="shared" si="25"/>
        <v>0</v>
      </c>
      <c r="BH18" s="24">
        <f t="shared" si="25"/>
        <v>0</v>
      </c>
      <c r="BI18" s="24">
        <f t="shared" si="25"/>
        <v>0</v>
      </c>
      <c r="BJ18" s="24">
        <f t="shared" si="25"/>
        <v>0</v>
      </c>
      <c r="BK18" s="24">
        <f t="shared" si="25"/>
        <v>0</v>
      </c>
      <c r="BL18" s="24">
        <f t="shared" si="25"/>
        <v>0</v>
      </c>
      <c r="BM18" s="24">
        <f t="shared" si="25"/>
        <v>0</v>
      </c>
      <c r="BN18" s="24"/>
      <c r="BO18" s="24"/>
      <c r="BP18" s="24">
        <f>Y18-AU18</f>
        <v>0</v>
      </c>
      <c r="BQ18" s="24">
        <f>+Z18-AV18</f>
        <v>0</v>
      </c>
      <c r="BR18" s="25">
        <f t="shared" si="10"/>
        <v>1</v>
      </c>
      <c r="BS18" s="24">
        <f t="shared" si="11"/>
        <v>9057037</v>
      </c>
      <c r="BT18" s="24"/>
      <c r="BU18" s="24"/>
      <c r="BV18" s="24"/>
      <c r="BW18" s="24"/>
      <c r="BX18" s="24">
        <f>+'[5]JULIO 2016'!$H$1806</f>
        <v>9057037</v>
      </c>
      <c r="BY18" s="24"/>
      <c r="BZ18" s="24"/>
      <c r="CA18" s="24"/>
      <c r="CB18" s="24"/>
      <c r="CC18" s="24"/>
      <c r="CD18" s="24"/>
      <c r="CE18" s="24"/>
      <c r="CF18" s="24"/>
      <c r="CG18" s="24"/>
      <c r="CH18" s="24"/>
      <c r="CI18" s="24"/>
      <c r="CJ18" s="24"/>
      <c r="CK18" s="24"/>
      <c r="CL18" s="24"/>
      <c r="CM18" s="24"/>
      <c r="CN18" s="25">
        <f t="shared" si="12"/>
        <v>0</v>
      </c>
      <c r="CO18" s="24">
        <f t="shared" si="13"/>
        <v>0</v>
      </c>
      <c r="CP18" s="24">
        <f t="shared" si="14"/>
        <v>0</v>
      </c>
      <c r="CQ18" s="24">
        <f t="shared" si="14"/>
        <v>0</v>
      </c>
      <c r="CR18" s="24">
        <f t="shared" si="14"/>
        <v>0</v>
      </c>
      <c r="CS18" s="24">
        <f t="shared" si="14"/>
        <v>0</v>
      </c>
      <c r="CT18" s="24">
        <f t="shared" si="14"/>
        <v>0</v>
      </c>
      <c r="CU18" s="24">
        <f t="shared" si="14"/>
        <v>0</v>
      </c>
      <c r="CV18" s="24">
        <f t="shared" ref="CV18:CX19" si="26">+N18-CA18</f>
        <v>0</v>
      </c>
      <c r="CW18" s="24">
        <f t="shared" si="26"/>
        <v>0</v>
      </c>
      <c r="CX18" s="24">
        <f t="shared" si="26"/>
        <v>0</v>
      </c>
      <c r="CY18" s="24">
        <f t="shared" si="16"/>
        <v>0</v>
      </c>
      <c r="CZ18" s="24">
        <f t="shared" si="16"/>
        <v>0</v>
      </c>
      <c r="DA18" s="24">
        <f t="shared" si="16"/>
        <v>0</v>
      </c>
      <c r="DB18" s="24">
        <f t="shared" ref="DB18:DD19" si="27">+T18-CG18</f>
        <v>0</v>
      </c>
      <c r="DC18" s="24">
        <f t="shared" si="27"/>
        <v>0</v>
      </c>
      <c r="DD18" s="24">
        <f t="shared" si="27"/>
        <v>0</v>
      </c>
      <c r="DE18" s="24"/>
      <c r="DF18" s="24">
        <f t="shared" ref="DF18:DH19" si="28">+X18-CK18</f>
        <v>0</v>
      </c>
      <c r="DG18" s="24">
        <f t="shared" si="28"/>
        <v>0</v>
      </c>
      <c r="DH18" s="24">
        <f t="shared" si="28"/>
        <v>0</v>
      </c>
      <c r="DJ18" s="29">
        <f t="shared" si="19"/>
        <v>9057037</v>
      </c>
      <c r="DK18" s="29">
        <f t="shared" si="20"/>
        <v>9057037</v>
      </c>
      <c r="DL18" s="29">
        <f t="shared" si="21"/>
        <v>9057037</v>
      </c>
    </row>
    <row r="19" spans="1:116" ht="28.5" customHeight="1" x14ac:dyDescent="0.25">
      <c r="A19" s="35"/>
      <c r="B19" s="215"/>
      <c r="C19" s="20" t="s">
        <v>83</v>
      </c>
      <c r="D19" s="21" t="s">
        <v>84</v>
      </c>
      <c r="E19" s="22">
        <v>510</v>
      </c>
      <c r="F19" s="23" t="s">
        <v>85</v>
      </c>
      <c r="G19" s="24">
        <f t="shared" si="0"/>
        <v>74942963</v>
      </c>
      <c r="H19" s="24"/>
      <c r="I19" s="24"/>
      <c r="J19" s="24"/>
      <c r="K19" s="24">
        <f>40000000+7942963</f>
        <v>47942963</v>
      </c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>
        <f>21000000+6000000</f>
        <v>27000000</v>
      </c>
      <c r="AA19" s="25">
        <f t="shared" si="1"/>
        <v>0.7770639652985164</v>
      </c>
      <c r="AB19" s="24">
        <f t="shared" si="2"/>
        <v>58235476</v>
      </c>
      <c r="AC19" s="24"/>
      <c r="AD19" s="24"/>
      <c r="AE19" s="24"/>
      <c r="AF19" s="24"/>
      <c r="AG19" s="24">
        <f>+'[4]AGOSTO 2016'!$O$2418</f>
        <v>37235476</v>
      </c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>
        <f>+'[4]AGOSTO 2016'!$AG$2418</f>
        <v>21000000</v>
      </c>
      <c r="AW19" s="25">
        <f t="shared" si="3"/>
        <v>0.2229360347014836</v>
      </c>
      <c r="AX19" s="24">
        <f t="shared" si="4"/>
        <v>16707487</v>
      </c>
      <c r="AY19" s="24">
        <f t="shared" si="24"/>
        <v>0</v>
      </c>
      <c r="AZ19" s="24">
        <f t="shared" si="24"/>
        <v>0</v>
      </c>
      <c r="BA19" s="24">
        <f t="shared" si="24"/>
        <v>0</v>
      </c>
      <c r="BB19" s="24">
        <f>+K19-AG19</f>
        <v>10707487</v>
      </c>
      <c r="BC19" s="24">
        <f t="shared" si="25"/>
        <v>0</v>
      </c>
      <c r="BD19" s="24">
        <f t="shared" si="25"/>
        <v>0</v>
      </c>
      <c r="BE19" s="24">
        <f t="shared" si="25"/>
        <v>0</v>
      </c>
      <c r="BF19" s="24">
        <f t="shared" si="25"/>
        <v>0</v>
      </c>
      <c r="BG19" s="24">
        <f t="shared" si="25"/>
        <v>0</v>
      </c>
      <c r="BH19" s="24">
        <f t="shared" si="25"/>
        <v>0</v>
      </c>
      <c r="BI19" s="24">
        <f t="shared" si="25"/>
        <v>0</v>
      </c>
      <c r="BJ19" s="24">
        <f t="shared" si="25"/>
        <v>0</v>
      </c>
      <c r="BK19" s="24">
        <f t="shared" si="25"/>
        <v>0</v>
      </c>
      <c r="BL19" s="24">
        <f t="shared" si="25"/>
        <v>0</v>
      </c>
      <c r="BM19" s="24">
        <f t="shared" si="25"/>
        <v>0</v>
      </c>
      <c r="BN19" s="24"/>
      <c r="BO19" s="24"/>
      <c r="BP19" s="24">
        <f>Y19-AU19</f>
        <v>0</v>
      </c>
      <c r="BQ19" s="24">
        <f>+Z19-AV19</f>
        <v>6000000</v>
      </c>
      <c r="BR19" s="25">
        <f t="shared" si="10"/>
        <v>0.57968335199130039</v>
      </c>
      <c r="BS19" s="24">
        <f t="shared" si="11"/>
        <v>43443188</v>
      </c>
      <c r="BT19" s="24"/>
      <c r="BU19" s="24"/>
      <c r="BV19" s="24"/>
      <c r="BW19" s="24"/>
      <c r="BX19" s="24">
        <f>+'[1]SEPTIEMBRE 2016'!$H$2843+'[1]SEPTIEMBRE 2016'!$H$2845+'[1]SEPTIEMBRE 2016'!$H$2847+'[1]SEPTIEMBRE 2016'!$H$2849+'[1]SEPTIEMBRE 2016'!$H$2854+'[1]SEPTIEMBRE 2016'!$H$2857</f>
        <v>35730190</v>
      </c>
      <c r="BY19" s="24"/>
      <c r="BZ19" s="24"/>
      <c r="CA19" s="24"/>
      <c r="CB19" s="24"/>
      <c r="CC19" s="24"/>
      <c r="CD19" s="24"/>
      <c r="CE19" s="24"/>
      <c r="CF19" s="24"/>
      <c r="CG19" s="24"/>
      <c r="CH19" s="24"/>
      <c r="CI19" s="24"/>
      <c r="CJ19" s="24"/>
      <c r="CK19" s="24"/>
      <c r="CL19" s="24"/>
      <c r="CM19" s="24">
        <f>+'[1]SEPTIEMBRE 2016'!$H$2860</f>
        <v>7712998</v>
      </c>
      <c r="CN19" s="25">
        <f t="shared" si="12"/>
        <v>0.42031664800869961</v>
      </c>
      <c r="CO19" s="24">
        <f t="shared" si="13"/>
        <v>31499775</v>
      </c>
      <c r="CP19" s="24">
        <f t="shared" si="14"/>
        <v>0</v>
      </c>
      <c r="CQ19" s="24">
        <f t="shared" si="14"/>
        <v>0</v>
      </c>
      <c r="CR19" s="24">
        <f t="shared" si="14"/>
        <v>0</v>
      </c>
      <c r="CS19" s="24">
        <f t="shared" si="14"/>
        <v>12212773</v>
      </c>
      <c r="CT19" s="24">
        <f t="shared" si="14"/>
        <v>0</v>
      </c>
      <c r="CU19" s="24">
        <f t="shared" si="14"/>
        <v>0</v>
      </c>
      <c r="CV19" s="24">
        <f t="shared" si="26"/>
        <v>0</v>
      </c>
      <c r="CW19" s="24">
        <f t="shared" si="26"/>
        <v>0</v>
      </c>
      <c r="CX19" s="24">
        <f t="shared" si="26"/>
        <v>0</v>
      </c>
      <c r="CY19" s="24">
        <f t="shared" si="16"/>
        <v>0</v>
      </c>
      <c r="CZ19" s="24">
        <f t="shared" si="16"/>
        <v>0</v>
      </c>
      <c r="DA19" s="24">
        <f t="shared" si="16"/>
        <v>0</v>
      </c>
      <c r="DB19" s="24">
        <f t="shared" si="27"/>
        <v>0</v>
      </c>
      <c r="DC19" s="24">
        <f t="shared" si="27"/>
        <v>0</v>
      </c>
      <c r="DD19" s="24">
        <f t="shared" si="27"/>
        <v>0</v>
      </c>
      <c r="DE19" s="24"/>
      <c r="DF19" s="24">
        <f t="shared" si="28"/>
        <v>0</v>
      </c>
      <c r="DG19" s="24">
        <f t="shared" si="28"/>
        <v>0</v>
      </c>
      <c r="DH19" s="24">
        <f t="shared" si="28"/>
        <v>19287002</v>
      </c>
      <c r="DJ19" s="29">
        <f t="shared" si="19"/>
        <v>74942963</v>
      </c>
      <c r="DK19" s="29">
        <f t="shared" si="20"/>
        <v>74942963</v>
      </c>
      <c r="DL19" s="29">
        <f t="shared" si="21"/>
        <v>74942963</v>
      </c>
    </row>
    <row r="20" spans="1:116" s="43" customFormat="1" ht="17.25" customHeight="1" thickBot="1" x14ac:dyDescent="0.3">
      <c r="A20" s="36"/>
      <c r="B20" s="234" t="s">
        <v>86</v>
      </c>
      <c r="C20" s="235"/>
      <c r="D20" s="235"/>
      <c r="E20" s="236"/>
      <c r="F20" s="37"/>
      <c r="G20" s="38">
        <f t="shared" ref="G20:V20" si="29">SUM(G4:G19)</f>
        <v>1457480977</v>
      </c>
      <c r="H20" s="38">
        <f t="shared" si="29"/>
        <v>0</v>
      </c>
      <c r="I20" s="38">
        <f t="shared" si="29"/>
        <v>450000000</v>
      </c>
      <c r="J20" s="38">
        <f t="shared" si="29"/>
        <v>0</v>
      </c>
      <c r="K20" s="38">
        <f t="shared" si="29"/>
        <v>749568554</v>
      </c>
      <c r="L20" s="38">
        <f t="shared" si="29"/>
        <v>14004396</v>
      </c>
      <c r="M20" s="38">
        <f t="shared" si="29"/>
        <v>0</v>
      </c>
      <c r="N20" s="38">
        <f t="shared" si="29"/>
        <v>0</v>
      </c>
      <c r="O20" s="38">
        <f t="shared" si="29"/>
        <v>0</v>
      </c>
      <c r="P20" s="38">
        <f t="shared" si="29"/>
        <v>0</v>
      </c>
      <c r="Q20" s="38">
        <f t="shared" si="29"/>
        <v>0</v>
      </c>
      <c r="R20" s="38">
        <f t="shared" si="29"/>
        <v>0</v>
      </c>
      <c r="S20" s="38">
        <f t="shared" si="29"/>
        <v>30431446</v>
      </c>
      <c r="T20" s="38">
        <f t="shared" si="29"/>
        <v>1796640</v>
      </c>
      <c r="U20" s="38">
        <f t="shared" si="29"/>
        <v>0</v>
      </c>
      <c r="V20" s="38">
        <f t="shared" si="29"/>
        <v>0</v>
      </c>
      <c r="W20" s="38"/>
      <c r="X20" s="38">
        <f>SUM(X4:X19)</f>
        <v>0</v>
      </c>
      <c r="Y20" s="38">
        <f>SUM(Y4:Y19)</f>
        <v>0</v>
      </c>
      <c r="Z20" s="38">
        <f>SUM(Z4:Z19)</f>
        <v>211679941</v>
      </c>
      <c r="AA20" s="39">
        <f t="shared" si="1"/>
        <v>0.71108679314172618</v>
      </c>
      <c r="AB20" s="40">
        <f>SUM(AB4:AB19)</f>
        <v>1036395474</v>
      </c>
      <c r="AC20" s="40"/>
      <c r="AD20" s="40">
        <f t="shared" ref="AD20:AV20" si="30">SUM(AD4:AD19)</f>
        <v>0</v>
      </c>
      <c r="AE20" s="40">
        <f t="shared" si="30"/>
        <v>152934046</v>
      </c>
      <c r="AF20" s="40">
        <f t="shared" si="30"/>
        <v>0</v>
      </c>
      <c r="AG20" s="40">
        <f t="shared" si="30"/>
        <v>696250590</v>
      </c>
      <c r="AH20" s="40">
        <f t="shared" si="30"/>
        <v>14004396</v>
      </c>
      <c r="AI20" s="40">
        <f t="shared" si="30"/>
        <v>0</v>
      </c>
      <c r="AJ20" s="40">
        <f t="shared" si="30"/>
        <v>0</v>
      </c>
      <c r="AK20" s="40">
        <f t="shared" si="30"/>
        <v>0</v>
      </c>
      <c r="AL20" s="40">
        <f t="shared" si="30"/>
        <v>0</v>
      </c>
      <c r="AM20" s="40">
        <f t="shared" si="30"/>
        <v>0</v>
      </c>
      <c r="AN20" s="40">
        <f t="shared" si="30"/>
        <v>0</v>
      </c>
      <c r="AO20" s="40">
        <f t="shared" si="30"/>
        <v>23188762</v>
      </c>
      <c r="AP20" s="40">
        <f t="shared" si="30"/>
        <v>1796640</v>
      </c>
      <c r="AQ20" s="40">
        <f t="shared" si="30"/>
        <v>0</v>
      </c>
      <c r="AR20" s="40">
        <f t="shared" si="30"/>
        <v>0</v>
      </c>
      <c r="AS20" s="40">
        <f t="shared" si="30"/>
        <v>0</v>
      </c>
      <c r="AT20" s="40">
        <f t="shared" si="30"/>
        <v>0</v>
      </c>
      <c r="AU20" s="40">
        <f t="shared" si="30"/>
        <v>0</v>
      </c>
      <c r="AV20" s="40">
        <f t="shared" si="30"/>
        <v>148221040</v>
      </c>
      <c r="AW20" s="41">
        <f t="shared" si="3"/>
        <v>0.28891320685827382</v>
      </c>
      <c r="AX20" s="40">
        <f t="shared" ref="AX20:BM20" si="31">SUM(AX4:AX19)</f>
        <v>421085503</v>
      </c>
      <c r="AY20" s="40">
        <f t="shared" si="31"/>
        <v>0</v>
      </c>
      <c r="AZ20" s="40">
        <f t="shared" si="31"/>
        <v>297065954</v>
      </c>
      <c r="BA20" s="40">
        <f t="shared" si="31"/>
        <v>0</v>
      </c>
      <c r="BB20" s="40">
        <f t="shared" si="31"/>
        <v>53317964</v>
      </c>
      <c r="BC20" s="40">
        <f t="shared" si="31"/>
        <v>0</v>
      </c>
      <c r="BD20" s="40">
        <f t="shared" si="31"/>
        <v>0</v>
      </c>
      <c r="BE20" s="40">
        <f t="shared" si="31"/>
        <v>0</v>
      </c>
      <c r="BF20" s="40">
        <f t="shared" si="31"/>
        <v>0</v>
      </c>
      <c r="BG20" s="40">
        <f t="shared" si="31"/>
        <v>0</v>
      </c>
      <c r="BH20" s="40">
        <f t="shared" si="31"/>
        <v>0</v>
      </c>
      <c r="BI20" s="40">
        <f t="shared" si="31"/>
        <v>0</v>
      </c>
      <c r="BJ20" s="40">
        <f t="shared" si="31"/>
        <v>7242684</v>
      </c>
      <c r="BK20" s="40">
        <f t="shared" si="31"/>
        <v>0</v>
      </c>
      <c r="BL20" s="40">
        <f t="shared" si="31"/>
        <v>0</v>
      </c>
      <c r="BM20" s="40">
        <f t="shared" si="31"/>
        <v>0</v>
      </c>
      <c r="BN20" s="40"/>
      <c r="BO20" s="40">
        <f>SUM(BO4:BO19)</f>
        <v>0</v>
      </c>
      <c r="BP20" s="40">
        <f>SUM(BP4:BP19)</f>
        <v>0</v>
      </c>
      <c r="BQ20" s="40">
        <f>SUM(BQ4:BQ19)</f>
        <v>63458901</v>
      </c>
      <c r="BR20" s="41">
        <f t="shared" si="10"/>
        <v>0.59736329100643903</v>
      </c>
      <c r="BS20" s="40">
        <f t="shared" ref="BS20:CI20" si="32">SUM(BS4:BS19)</f>
        <v>870645633</v>
      </c>
      <c r="BT20" s="40">
        <f t="shared" si="32"/>
        <v>0</v>
      </c>
      <c r="BU20" s="40">
        <f t="shared" si="32"/>
        <v>0</v>
      </c>
      <c r="BV20" s="40">
        <f t="shared" si="32"/>
        <v>124254160</v>
      </c>
      <c r="BW20" s="40">
        <f t="shared" si="32"/>
        <v>0</v>
      </c>
      <c r="BX20" s="40">
        <f t="shared" si="32"/>
        <v>574306733</v>
      </c>
      <c r="BY20" s="40">
        <f t="shared" si="32"/>
        <v>14004396</v>
      </c>
      <c r="BZ20" s="40">
        <f t="shared" si="32"/>
        <v>0</v>
      </c>
      <c r="CA20" s="40">
        <f t="shared" si="32"/>
        <v>0</v>
      </c>
      <c r="CB20" s="40">
        <f t="shared" si="32"/>
        <v>0</v>
      </c>
      <c r="CC20" s="40">
        <f t="shared" si="32"/>
        <v>0</v>
      </c>
      <c r="CD20" s="40">
        <f t="shared" si="32"/>
        <v>0</v>
      </c>
      <c r="CE20" s="40">
        <f t="shared" si="32"/>
        <v>0</v>
      </c>
      <c r="CF20" s="40">
        <f t="shared" si="32"/>
        <v>23178230</v>
      </c>
      <c r="CG20" s="40">
        <f t="shared" si="32"/>
        <v>1796640</v>
      </c>
      <c r="CH20" s="40">
        <f t="shared" si="32"/>
        <v>0</v>
      </c>
      <c r="CI20" s="40">
        <f t="shared" si="32"/>
        <v>0</v>
      </c>
      <c r="CJ20" s="40"/>
      <c r="CK20" s="40">
        <f>SUM(CK4:CK19)</f>
        <v>0</v>
      </c>
      <c r="CL20" s="40">
        <f>SUM(CL4:CL19)</f>
        <v>0</v>
      </c>
      <c r="CM20" s="40">
        <f>SUM(CM4:CM19)</f>
        <v>133105474</v>
      </c>
      <c r="CN20" s="41">
        <f t="shared" si="12"/>
        <v>0.40263670899356097</v>
      </c>
      <c r="CO20" s="40">
        <f t="shared" ref="CO20:DH20" si="33">SUM(CO4:CO19)</f>
        <v>586835344</v>
      </c>
      <c r="CP20" s="40">
        <f t="shared" si="33"/>
        <v>0</v>
      </c>
      <c r="CQ20" s="40">
        <f t="shared" si="33"/>
        <v>325745840</v>
      </c>
      <c r="CR20" s="40">
        <f t="shared" si="33"/>
        <v>0</v>
      </c>
      <c r="CS20" s="40">
        <f t="shared" si="33"/>
        <v>175261821</v>
      </c>
      <c r="CT20" s="40">
        <f t="shared" si="33"/>
        <v>0</v>
      </c>
      <c r="CU20" s="40">
        <f t="shared" si="33"/>
        <v>0</v>
      </c>
      <c r="CV20" s="40">
        <f t="shared" si="33"/>
        <v>0</v>
      </c>
      <c r="CW20" s="40">
        <f t="shared" si="33"/>
        <v>0</v>
      </c>
      <c r="CX20" s="40">
        <f t="shared" si="33"/>
        <v>0</v>
      </c>
      <c r="CY20" s="40">
        <f t="shared" si="33"/>
        <v>0</v>
      </c>
      <c r="CZ20" s="40">
        <f t="shared" si="33"/>
        <v>0</v>
      </c>
      <c r="DA20" s="40">
        <f t="shared" si="33"/>
        <v>7253216</v>
      </c>
      <c r="DB20" s="40">
        <f t="shared" si="33"/>
        <v>0</v>
      </c>
      <c r="DC20" s="40">
        <f t="shared" si="33"/>
        <v>0</v>
      </c>
      <c r="DD20" s="40">
        <f t="shared" si="33"/>
        <v>0</v>
      </c>
      <c r="DE20" s="40">
        <f t="shared" si="33"/>
        <v>0</v>
      </c>
      <c r="DF20" s="40">
        <f t="shared" si="33"/>
        <v>0</v>
      </c>
      <c r="DG20" s="40">
        <f t="shared" si="33"/>
        <v>0</v>
      </c>
      <c r="DH20" s="42">
        <f t="shared" si="33"/>
        <v>78574467</v>
      </c>
      <c r="DJ20" s="29">
        <f t="shared" si="19"/>
        <v>1457480977</v>
      </c>
      <c r="DK20" s="29">
        <f t="shared" si="20"/>
        <v>1457480977</v>
      </c>
      <c r="DL20" s="29">
        <f t="shared" si="21"/>
        <v>1457480977</v>
      </c>
    </row>
    <row r="21" spans="1:116" ht="40.5" customHeight="1" thickTop="1" x14ac:dyDescent="0.25">
      <c r="A21" s="19" t="s">
        <v>87</v>
      </c>
      <c r="B21" s="237" t="s">
        <v>88</v>
      </c>
      <c r="C21" s="20" t="s">
        <v>89</v>
      </c>
      <c r="D21" s="21" t="s">
        <v>90</v>
      </c>
      <c r="E21" s="22">
        <v>410</v>
      </c>
      <c r="F21" s="44" t="s">
        <v>91</v>
      </c>
      <c r="G21" s="24">
        <f t="shared" ref="G21:G59" si="34">SUM(H21:Z21)</f>
        <v>450000000</v>
      </c>
      <c r="H21" s="45"/>
      <c r="I21" s="24">
        <v>450000000</v>
      </c>
      <c r="J21" s="46"/>
      <c r="K21" s="24"/>
      <c r="L21" s="45"/>
      <c r="M21" s="46"/>
      <c r="N21" s="46"/>
      <c r="O21" s="46"/>
      <c r="P21" s="46"/>
      <c r="Q21" s="47"/>
      <c r="R21" s="46"/>
      <c r="S21" s="46"/>
      <c r="T21" s="46"/>
      <c r="U21" s="46"/>
      <c r="V21" s="46"/>
      <c r="W21" s="46"/>
      <c r="X21" s="46"/>
      <c r="Y21" s="46"/>
      <c r="Z21" s="46"/>
      <c r="AA21" s="48">
        <f t="shared" si="1"/>
        <v>0.99897389333333331</v>
      </c>
      <c r="AB21" s="24">
        <f t="shared" ref="AB21:AB59" si="35">SUM(AC21:AV21)</f>
        <v>449538252</v>
      </c>
      <c r="AC21" s="24"/>
      <c r="AD21" s="24"/>
      <c r="AE21" s="24">
        <f>+'[4]AGOSTO 2016'!$M$962</f>
        <v>449538252</v>
      </c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5">
        <f t="shared" si="3"/>
        <v>1.0261066666666929E-3</v>
      </c>
      <c r="AX21" s="24">
        <f t="shared" ref="AX21:AX59" si="36">SUM(AY21:BQ21)</f>
        <v>461748</v>
      </c>
      <c r="AY21" s="24">
        <f t="shared" ref="AY21:BA36" si="37">H21-AD21</f>
        <v>0</v>
      </c>
      <c r="AZ21" s="24">
        <f t="shared" si="37"/>
        <v>461748</v>
      </c>
      <c r="BA21" s="24">
        <f t="shared" si="37"/>
        <v>0</v>
      </c>
      <c r="BB21" s="24">
        <f t="shared" ref="BB21:BM23" si="38">+K21-AG21</f>
        <v>0</v>
      </c>
      <c r="BC21" s="24">
        <f t="shared" si="38"/>
        <v>0</v>
      </c>
      <c r="BD21" s="24">
        <f t="shared" si="38"/>
        <v>0</v>
      </c>
      <c r="BE21" s="24">
        <f t="shared" si="38"/>
        <v>0</v>
      </c>
      <c r="BF21" s="24">
        <f t="shared" si="38"/>
        <v>0</v>
      </c>
      <c r="BG21" s="24">
        <f t="shared" si="38"/>
        <v>0</v>
      </c>
      <c r="BH21" s="24">
        <f t="shared" si="38"/>
        <v>0</v>
      </c>
      <c r="BI21" s="24">
        <f t="shared" si="38"/>
        <v>0</v>
      </c>
      <c r="BJ21" s="24">
        <f t="shared" si="38"/>
        <v>0</v>
      </c>
      <c r="BK21" s="24">
        <f t="shared" si="38"/>
        <v>0</v>
      </c>
      <c r="BL21" s="24">
        <f t="shared" si="38"/>
        <v>0</v>
      </c>
      <c r="BM21" s="24">
        <f t="shared" si="38"/>
        <v>0</v>
      </c>
      <c r="BN21" s="24"/>
      <c r="BO21" s="24"/>
      <c r="BP21" s="24"/>
      <c r="BQ21" s="24">
        <f>+Z21-AV21</f>
        <v>0</v>
      </c>
      <c r="BR21" s="25">
        <f t="shared" si="10"/>
        <v>0.99897389333333331</v>
      </c>
      <c r="BS21" s="24">
        <f t="shared" ref="BS21:BS59" si="39">SUM(BT21:CM21)</f>
        <v>449538252</v>
      </c>
      <c r="BT21" s="24"/>
      <c r="BU21" s="24"/>
      <c r="BV21" s="24">
        <f>+'[1]SEPTIEMBRE 2016'!$H$1163</f>
        <v>449538252</v>
      </c>
      <c r="BW21" s="24"/>
      <c r="BX21" s="24"/>
      <c r="BY21" s="24"/>
      <c r="BZ21" s="24"/>
      <c r="CA21" s="24"/>
      <c r="CB21" s="24"/>
      <c r="CC21" s="24"/>
      <c r="CD21" s="24"/>
      <c r="CE21" s="24"/>
      <c r="CF21" s="24"/>
      <c r="CG21" s="24"/>
      <c r="CH21" s="24"/>
      <c r="CI21" s="24"/>
      <c r="CJ21" s="24"/>
      <c r="CK21" s="24"/>
      <c r="CL21" s="24"/>
      <c r="CM21" s="24"/>
      <c r="CN21" s="25">
        <f t="shared" si="12"/>
        <v>1.0261066666666929E-3</v>
      </c>
      <c r="CO21" s="24">
        <f t="shared" ref="CO21:CO59" si="40">SUM(CP21:DH21)</f>
        <v>461748</v>
      </c>
      <c r="CP21" s="24">
        <f t="shared" ref="CP21:CU36" si="41">H21-BU21</f>
        <v>0</v>
      </c>
      <c r="CQ21" s="24">
        <f t="shared" si="41"/>
        <v>461748</v>
      </c>
      <c r="CR21" s="24">
        <f t="shared" si="41"/>
        <v>0</v>
      </c>
      <c r="CS21" s="24">
        <f t="shared" si="41"/>
        <v>0</v>
      </c>
      <c r="CT21" s="24">
        <f t="shared" si="41"/>
        <v>0</v>
      </c>
      <c r="CU21" s="24">
        <f t="shared" si="41"/>
        <v>0</v>
      </c>
      <c r="CV21" s="24">
        <f t="shared" ref="CV21:CX23" si="42">+N21-CA21</f>
        <v>0</v>
      </c>
      <c r="CW21" s="24">
        <f t="shared" si="42"/>
        <v>0</v>
      </c>
      <c r="CX21" s="24">
        <f t="shared" si="42"/>
        <v>0</v>
      </c>
      <c r="CY21" s="24">
        <f t="shared" ref="CY21:DA23" si="43">Q21-CD21</f>
        <v>0</v>
      </c>
      <c r="CZ21" s="24">
        <f t="shared" si="43"/>
        <v>0</v>
      </c>
      <c r="DA21" s="24">
        <f t="shared" si="43"/>
        <v>0</v>
      </c>
      <c r="DB21" s="24">
        <f t="shared" ref="DB21:DD23" si="44">+T21-CG21</f>
        <v>0</v>
      </c>
      <c r="DC21" s="24">
        <f t="shared" si="44"/>
        <v>0</v>
      </c>
      <c r="DD21" s="24">
        <f t="shared" si="44"/>
        <v>0</v>
      </c>
      <c r="DE21" s="24"/>
      <c r="DF21" s="24">
        <f t="shared" ref="DF21:DH23" si="45">+X21-CK21</f>
        <v>0</v>
      </c>
      <c r="DG21" s="24">
        <f t="shared" si="45"/>
        <v>0</v>
      </c>
      <c r="DH21" s="24">
        <f t="shared" si="45"/>
        <v>0</v>
      </c>
      <c r="DJ21" s="29">
        <f t="shared" si="19"/>
        <v>450000000</v>
      </c>
      <c r="DK21" s="29">
        <f t="shared" si="20"/>
        <v>450000000</v>
      </c>
      <c r="DL21" s="29">
        <f t="shared" si="21"/>
        <v>450000000</v>
      </c>
    </row>
    <row r="22" spans="1:116" ht="48.75" customHeight="1" x14ac:dyDescent="0.25">
      <c r="A22" s="30"/>
      <c r="B22" s="232"/>
      <c r="C22" s="20" t="s">
        <v>92</v>
      </c>
      <c r="D22" s="21" t="s">
        <v>93</v>
      </c>
      <c r="E22" s="22">
        <v>410</v>
      </c>
      <c r="F22" s="23" t="s">
        <v>91</v>
      </c>
      <c r="G22" s="24">
        <f t="shared" si="34"/>
        <v>150000000</v>
      </c>
      <c r="H22" s="24"/>
      <c r="I22" s="24">
        <v>150000000</v>
      </c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5">
        <f t="shared" si="1"/>
        <v>0.99787351999999996</v>
      </c>
      <c r="AB22" s="24">
        <f t="shared" si="35"/>
        <v>149681028</v>
      </c>
      <c r="AC22" s="24"/>
      <c r="AD22" s="24"/>
      <c r="AE22" s="24">
        <f>+'[1]SEPTIEMBRE 2016'!$M$1182</f>
        <v>149681028</v>
      </c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5">
        <f t="shared" si="3"/>
        <v>2.1264800000000417E-3</v>
      </c>
      <c r="AX22" s="24">
        <f t="shared" si="36"/>
        <v>318972</v>
      </c>
      <c r="AY22" s="24">
        <f t="shared" si="37"/>
        <v>0</v>
      </c>
      <c r="AZ22" s="24">
        <f t="shared" si="37"/>
        <v>318972</v>
      </c>
      <c r="BA22" s="24">
        <f t="shared" si="37"/>
        <v>0</v>
      </c>
      <c r="BB22" s="24">
        <f t="shared" si="38"/>
        <v>0</v>
      </c>
      <c r="BC22" s="24">
        <f t="shared" si="38"/>
        <v>0</v>
      </c>
      <c r="BD22" s="24">
        <f t="shared" si="38"/>
        <v>0</v>
      </c>
      <c r="BE22" s="24">
        <f t="shared" si="38"/>
        <v>0</v>
      </c>
      <c r="BF22" s="24">
        <f t="shared" si="38"/>
        <v>0</v>
      </c>
      <c r="BG22" s="24">
        <f t="shared" si="38"/>
        <v>0</v>
      </c>
      <c r="BH22" s="24">
        <f t="shared" si="38"/>
        <v>0</v>
      </c>
      <c r="BI22" s="24">
        <f t="shared" si="38"/>
        <v>0</v>
      </c>
      <c r="BJ22" s="24">
        <f t="shared" si="38"/>
        <v>0</v>
      </c>
      <c r="BK22" s="24">
        <f t="shared" si="38"/>
        <v>0</v>
      </c>
      <c r="BL22" s="24">
        <f t="shared" si="38"/>
        <v>0</v>
      </c>
      <c r="BM22" s="24">
        <f t="shared" si="38"/>
        <v>0</v>
      </c>
      <c r="BN22" s="24"/>
      <c r="BO22" s="24"/>
      <c r="BP22" s="24"/>
      <c r="BQ22" s="24">
        <f>+Z22-AV22</f>
        <v>0</v>
      </c>
      <c r="BR22" s="25">
        <f t="shared" si="10"/>
        <v>0.99258345333333331</v>
      </c>
      <c r="BS22" s="24">
        <f t="shared" si="39"/>
        <v>148887518</v>
      </c>
      <c r="BT22" s="24"/>
      <c r="BU22" s="24"/>
      <c r="BV22" s="24">
        <f>+'[1]SEPTIEMBRE 2016'!$H$1180</f>
        <v>148887518</v>
      </c>
      <c r="BW22" s="24"/>
      <c r="BX22" s="24"/>
      <c r="BY22" s="24"/>
      <c r="BZ22" s="24"/>
      <c r="CA22" s="24"/>
      <c r="CB22" s="24"/>
      <c r="CC22" s="24"/>
      <c r="CD22" s="24"/>
      <c r="CE22" s="24"/>
      <c r="CF22" s="24"/>
      <c r="CG22" s="24"/>
      <c r="CH22" s="24"/>
      <c r="CI22" s="24"/>
      <c r="CJ22" s="24"/>
      <c r="CK22" s="24"/>
      <c r="CL22" s="24"/>
      <c r="CM22" s="24"/>
      <c r="CN22" s="25">
        <f t="shared" si="12"/>
        <v>7.4165466666666902E-3</v>
      </c>
      <c r="CO22" s="24">
        <f t="shared" si="40"/>
        <v>1112482</v>
      </c>
      <c r="CP22" s="24">
        <f t="shared" si="41"/>
        <v>0</v>
      </c>
      <c r="CQ22" s="24">
        <f t="shared" si="41"/>
        <v>1112482</v>
      </c>
      <c r="CR22" s="24">
        <f t="shared" si="41"/>
        <v>0</v>
      </c>
      <c r="CS22" s="24">
        <f t="shared" si="41"/>
        <v>0</v>
      </c>
      <c r="CT22" s="24">
        <f t="shared" si="41"/>
        <v>0</v>
      </c>
      <c r="CU22" s="24">
        <f t="shared" si="41"/>
        <v>0</v>
      </c>
      <c r="CV22" s="24">
        <f t="shared" si="42"/>
        <v>0</v>
      </c>
      <c r="CW22" s="24">
        <f t="shared" si="42"/>
        <v>0</v>
      </c>
      <c r="CX22" s="24">
        <f t="shared" si="42"/>
        <v>0</v>
      </c>
      <c r="CY22" s="24">
        <f t="shared" si="43"/>
        <v>0</v>
      </c>
      <c r="CZ22" s="24">
        <f t="shared" si="43"/>
        <v>0</v>
      </c>
      <c r="DA22" s="24">
        <f t="shared" si="43"/>
        <v>0</v>
      </c>
      <c r="DB22" s="24">
        <f t="shared" si="44"/>
        <v>0</v>
      </c>
      <c r="DC22" s="24">
        <f t="shared" si="44"/>
        <v>0</v>
      </c>
      <c r="DD22" s="24">
        <f t="shared" si="44"/>
        <v>0</v>
      </c>
      <c r="DE22" s="24"/>
      <c r="DF22" s="24">
        <f t="shared" si="45"/>
        <v>0</v>
      </c>
      <c r="DG22" s="24">
        <f t="shared" si="45"/>
        <v>0</v>
      </c>
      <c r="DH22" s="24">
        <f t="shared" si="45"/>
        <v>0</v>
      </c>
      <c r="DJ22" s="29">
        <f t="shared" si="19"/>
        <v>150000000</v>
      </c>
      <c r="DK22" s="29">
        <f t="shared" si="20"/>
        <v>150000000</v>
      </c>
      <c r="DL22" s="29">
        <f t="shared" si="21"/>
        <v>150000000</v>
      </c>
    </row>
    <row r="23" spans="1:116" ht="33.75" customHeight="1" x14ac:dyDescent="0.25">
      <c r="A23" s="30"/>
      <c r="B23" s="233"/>
      <c r="C23" s="20" t="s">
        <v>94</v>
      </c>
      <c r="D23" s="21" t="s">
        <v>95</v>
      </c>
      <c r="E23" s="22">
        <v>410</v>
      </c>
      <c r="F23" s="23" t="s">
        <v>91</v>
      </c>
      <c r="G23" s="24">
        <f t="shared" si="34"/>
        <v>884325162</v>
      </c>
      <c r="H23" s="24"/>
      <c r="I23" s="24">
        <f>200000000+400000000+39616700+228708462</f>
        <v>868325162</v>
      </c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>
        <v>16000000</v>
      </c>
      <c r="AA23" s="25">
        <f t="shared" si="1"/>
        <v>0.99038815091410914</v>
      </c>
      <c r="AB23" s="24">
        <f t="shared" si="35"/>
        <v>875825162</v>
      </c>
      <c r="AC23" s="24"/>
      <c r="AD23" s="24"/>
      <c r="AE23" s="24">
        <f>+'[1]SEPTIEMBRE 2016'!$M$1198</f>
        <v>868325162</v>
      </c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>
        <f>+'[1]SEPTIEMBRE 2016'!$AG$1198</f>
        <v>7500000</v>
      </c>
      <c r="AW23" s="25">
        <f t="shared" si="3"/>
        <v>9.6118490858908556E-3</v>
      </c>
      <c r="AX23" s="24">
        <f t="shared" si="36"/>
        <v>8500000</v>
      </c>
      <c r="AY23" s="24">
        <f t="shared" si="37"/>
        <v>0</v>
      </c>
      <c r="AZ23" s="24">
        <f t="shared" si="37"/>
        <v>0</v>
      </c>
      <c r="BA23" s="24">
        <f t="shared" si="37"/>
        <v>0</v>
      </c>
      <c r="BB23" s="24">
        <f t="shared" si="38"/>
        <v>0</v>
      </c>
      <c r="BC23" s="24">
        <f t="shared" si="38"/>
        <v>0</v>
      </c>
      <c r="BD23" s="24">
        <f t="shared" si="38"/>
        <v>0</v>
      </c>
      <c r="BE23" s="24">
        <f t="shared" si="38"/>
        <v>0</v>
      </c>
      <c r="BF23" s="24">
        <f t="shared" si="38"/>
        <v>0</v>
      </c>
      <c r="BG23" s="24">
        <f t="shared" si="38"/>
        <v>0</v>
      </c>
      <c r="BH23" s="24">
        <f t="shared" si="38"/>
        <v>0</v>
      </c>
      <c r="BI23" s="24">
        <f t="shared" si="38"/>
        <v>0</v>
      </c>
      <c r="BJ23" s="24">
        <f t="shared" si="38"/>
        <v>0</v>
      </c>
      <c r="BK23" s="24">
        <f t="shared" si="38"/>
        <v>0</v>
      </c>
      <c r="BL23" s="24">
        <f t="shared" si="38"/>
        <v>0</v>
      </c>
      <c r="BM23" s="24">
        <f t="shared" si="38"/>
        <v>0</v>
      </c>
      <c r="BN23" s="24"/>
      <c r="BO23" s="24"/>
      <c r="BP23" s="24"/>
      <c r="BQ23" s="24">
        <f>+Z23-AV23</f>
        <v>8500000</v>
      </c>
      <c r="BR23" s="25">
        <f t="shared" si="10"/>
        <v>0.34404908180142907</v>
      </c>
      <c r="BS23" s="24">
        <f t="shared" si="39"/>
        <v>304251260</v>
      </c>
      <c r="BT23" s="24"/>
      <c r="BU23" s="24"/>
      <c r="BV23" s="24">
        <f>+'[1]SEPTIEMBRE 2016'!$H$1196-CM23</f>
        <v>296751260</v>
      </c>
      <c r="BW23" s="24"/>
      <c r="BX23" s="24"/>
      <c r="BY23" s="24"/>
      <c r="BZ23" s="24"/>
      <c r="CA23" s="24"/>
      <c r="CB23" s="24"/>
      <c r="CC23" s="24"/>
      <c r="CD23" s="24"/>
      <c r="CE23" s="24"/>
      <c r="CF23" s="24"/>
      <c r="CG23" s="24"/>
      <c r="CH23" s="24"/>
      <c r="CI23" s="24"/>
      <c r="CJ23" s="24"/>
      <c r="CK23" s="24"/>
      <c r="CL23" s="24"/>
      <c r="CM23" s="24">
        <v>7500000</v>
      </c>
      <c r="CN23" s="25">
        <f t="shared" si="12"/>
        <v>0.65595091819857099</v>
      </c>
      <c r="CO23" s="24">
        <f t="shared" si="40"/>
        <v>580073902</v>
      </c>
      <c r="CP23" s="24">
        <f t="shared" si="41"/>
        <v>0</v>
      </c>
      <c r="CQ23" s="24">
        <f t="shared" si="41"/>
        <v>571573902</v>
      </c>
      <c r="CR23" s="24">
        <f t="shared" si="41"/>
        <v>0</v>
      </c>
      <c r="CS23" s="24">
        <f t="shared" si="41"/>
        <v>0</v>
      </c>
      <c r="CT23" s="24">
        <f t="shared" si="41"/>
        <v>0</v>
      </c>
      <c r="CU23" s="24">
        <f t="shared" si="41"/>
        <v>0</v>
      </c>
      <c r="CV23" s="24">
        <f t="shared" si="42"/>
        <v>0</v>
      </c>
      <c r="CW23" s="24">
        <f t="shared" si="42"/>
        <v>0</v>
      </c>
      <c r="CX23" s="24">
        <f t="shared" si="42"/>
        <v>0</v>
      </c>
      <c r="CY23" s="24">
        <f t="shared" si="43"/>
        <v>0</v>
      </c>
      <c r="CZ23" s="24">
        <f t="shared" si="43"/>
        <v>0</v>
      </c>
      <c r="DA23" s="24">
        <f t="shared" si="43"/>
        <v>0</v>
      </c>
      <c r="DB23" s="24">
        <f t="shared" si="44"/>
        <v>0</v>
      </c>
      <c r="DC23" s="24">
        <f t="shared" si="44"/>
        <v>0</v>
      </c>
      <c r="DD23" s="24">
        <f t="shared" si="44"/>
        <v>0</v>
      </c>
      <c r="DE23" s="24"/>
      <c r="DF23" s="24">
        <f t="shared" si="45"/>
        <v>0</v>
      </c>
      <c r="DG23" s="24">
        <f t="shared" si="45"/>
        <v>0</v>
      </c>
      <c r="DH23" s="24">
        <f t="shared" si="45"/>
        <v>8500000</v>
      </c>
      <c r="DJ23" s="29">
        <f t="shared" si="19"/>
        <v>884325162</v>
      </c>
      <c r="DK23" s="29">
        <f t="shared" si="20"/>
        <v>884325162</v>
      </c>
      <c r="DL23" s="29">
        <f t="shared" si="21"/>
        <v>884325162</v>
      </c>
    </row>
    <row r="24" spans="1:116" ht="46.5" customHeight="1" x14ac:dyDescent="0.25">
      <c r="A24" s="30"/>
      <c r="B24" s="49"/>
      <c r="C24" s="20" t="s">
        <v>96</v>
      </c>
      <c r="D24" s="21" t="s">
        <v>97</v>
      </c>
      <c r="E24" s="22">
        <v>410</v>
      </c>
      <c r="F24" s="23" t="s">
        <v>91</v>
      </c>
      <c r="G24" s="24">
        <f t="shared" si="34"/>
        <v>50000000</v>
      </c>
      <c r="H24" s="24"/>
      <c r="I24" s="24">
        <v>50000000</v>
      </c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5">
        <f t="shared" si="1"/>
        <v>0.58499999999999996</v>
      </c>
      <c r="AB24" s="24">
        <f t="shared" si="35"/>
        <v>29250000</v>
      </c>
      <c r="AC24" s="24"/>
      <c r="AD24" s="24"/>
      <c r="AE24" s="24">
        <f>+'[1]SEPTIEMBRE 2016'!$M$1257</f>
        <v>29250000</v>
      </c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5">
        <f t="shared" si="3"/>
        <v>0.41500000000000004</v>
      </c>
      <c r="AX24" s="24">
        <f t="shared" si="36"/>
        <v>20750000</v>
      </c>
      <c r="AY24" s="24"/>
      <c r="AZ24" s="24">
        <f t="shared" si="37"/>
        <v>20750000</v>
      </c>
      <c r="BA24" s="24"/>
      <c r="BB24" s="24"/>
      <c r="BC24" s="24"/>
      <c r="BD24" s="24"/>
      <c r="BE24" s="24"/>
      <c r="BF24" s="24"/>
      <c r="BG24" s="24"/>
      <c r="BH24" s="24"/>
      <c r="BI24" s="24"/>
      <c r="BJ24" s="24"/>
      <c r="BK24" s="24"/>
      <c r="BL24" s="24"/>
      <c r="BM24" s="24"/>
      <c r="BN24" s="24"/>
      <c r="BO24" s="24"/>
      <c r="BP24" s="24"/>
      <c r="BQ24" s="24"/>
      <c r="BR24" s="25">
        <f t="shared" si="10"/>
        <v>0.58499999999999996</v>
      </c>
      <c r="BS24" s="24">
        <f t="shared" si="39"/>
        <v>29250000</v>
      </c>
      <c r="BT24" s="24"/>
      <c r="BU24" s="24"/>
      <c r="BV24" s="24">
        <f>+'[1]SEPTIEMBRE 2016'!$H$1255</f>
        <v>29250000</v>
      </c>
      <c r="BW24" s="24"/>
      <c r="BX24" s="24"/>
      <c r="BY24" s="24"/>
      <c r="BZ24" s="24"/>
      <c r="CA24" s="24"/>
      <c r="CB24" s="24"/>
      <c r="CC24" s="24"/>
      <c r="CD24" s="24"/>
      <c r="CE24" s="24"/>
      <c r="CF24" s="24"/>
      <c r="CG24" s="24"/>
      <c r="CH24" s="24"/>
      <c r="CI24" s="24"/>
      <c r="CJ24" s="24"/>
      <c r="CK24" s="24"/>
      <c r="CL24" s="24"/>
      <c r="CM24" s="24"/>
      <c r="CN24" s="25">
        <f t="shared" si="12"/>
        <v>0.41500000000000004</v>
      </c>
      <c r="CO24" s="24">
        <f t="shared" si="40"/>
        <v>20750000</v>
      </c>
      <c r="CP24" s="24"/>
      <c r="CQ24" s="24">
        <f t="shared" si="41"/>
        <v>20750000</v>
      </c>
      <c r="CR24" s="24"/>
      <c r="CS24" s="24"/>
      <c r="CT24" s="24"/>
      <c r="CU24" s="24"/>
      <c r="CV24" s="24"/>
      <c r="CW24" s="24"/>
      <c r="CX24" s="24"/>
      <c r="CY24" s="24"/>
      <c r="CZ24" s="24"/>
      <c r="DA24" s="24"/>
      <c r="DB24" s="24"/>
      <c r="DC24" s="24"/>
      <c r="DD24" s="24"/>
      <c r="DE24" s="24"/>
      <c r="DF24" s="24"/>
      <c r="DG24" s="24"/>
      <c r="DH24" s="24"/>
      <c r="DJ24" s="29"/>
      <c r="DK24" s="29"/>
      <c r="DL24" s="29"/>
    </row>
    <row r="25" spans="1:116" ht="48" customHeight="1" x14ac:dyDescent="0.25">
      <c r="A25" s="30"/>
      <c r="B25" s="49"/>
      <c r="C25" s="20" t="s">
        <v>98</v>
      </c>
      <c r="D25" s="21" t="s">
        <v>99</v>
      </c>
      <c r="E25" s="22">
        <v>410</v>
      </c>
      <c r="F25" s="23" t="s">
        <v>91</v>
      </c>
      <c r="G25" s="24">
        <f t="shared" si="34"/>
        <v>250000000</v>
      </c>
      <c r="H25" s="24"/>
      <c r="I25" s="24">
        <v>250000000</v>
      </c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5">
        <f t="shared" si="1"/>
        <v>1.618752E-2</v>
      </c>
      <c r="AB25" s="24">
        <f t="shared" si="35"/>
        <v>4046880</v>
      </c>
      <c r="AC25" s="24"/>
      <c r="AD25" s="24"/>
      <c r="AE25" s="24">
        <f>+'[1]SEPTIEMBRE 2016'!$M$1267</f>
        <v>4046880</v>
      </c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5">
        <f t="shared" si="3"/>
        <v>0.98381247999999999</v>
      </c>
      <c r="AX25" s="24">
        <f t="shared" si="36"/>
        <v>245953120</v>
      </c>
      <c r="AY25" s="24"/>
      <c r="AZ25" s="24">
        <f t="shared" si="37"/>
        <v>245953120</v>
      </c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5">
        <f t="shared" si="10"/>
        <v>0</v>
      </c>
      <c r="BS25" s="24">
        <f t="shared" si="39"/>
        <v>0</v>
      </c>
      <c r="BT25" s="24"/>
      <c r="BU25" s="24"/>
      <c r="BV25" s="24"/>
      <c r="BW25" s="24"/>
      <c r="BX25" s="24"/>
      <c r="BY25" s="24"/>
      <c r="BZ25" s="24"/>
      <c r="CA25" s="24"/>
      <c r="CB25" s="24"/>
      <c r="CC25" s="24"/>
      <c r="CD25" s="24"/>
      <c r="CE25" s="24"/>
      <c r="CF25" s="24"/>
      <c r="CG25" s="24"/>
      <c r="CH25" s="24"/>
      <c r="CI25" s="24"/>
      <c r="CJ25" s="24"/>
      <c r="CK25" s="24"/>
      <c r="CL25" s="24"/>
      <c r="CM25" s="24"/>
      <c r="CN25" s="25">
        <f t="shared" si="12"/>
        <v>1</v>
      </c>
      <c r="CO25" s="24">
        <f t="shared" si="40"/>
        <v>250000000</v>
      </c>
      <c r="CP25" s="24"/>
      <c r="CQ25" s="24">
        <f t="shared" si="41"/>
        <v>250000000</v>
      </c>
      <c r="CR25" s="24"/>
      <c r="CS25" s="24"/>
      <c r="CT25" s="24"/>
      <c r="CU25" s="24"/>
      <c r="CV25" s="24"/>
      <c r="CW25" s="24"/>
      <c r="CX25" s="24"/>
      <c r="CY25" s="24"/>
      <c r="CZ25" s="24"/>
      <c r="DA25" s="24"/>
      <c r="DB25" s="24"/>
      <c r="DC25" s="24"/>
      <c r="DD25" s="24"/>
      <c r="DE25" s="24"/>
      <c r="DF25" s="24"/>
      <c r="DG25" s="24"/>
      <c r="DH25" s="24"/>
      <c r="DJ25" s="29"/>
      <c r="DK25" s="29"/>
      <c r="DL25" s="29"/>
    </row>
    <row r="26" spans="1:116" ht="36" customHeight="1" x14ac:dyDescent="0.25">
      <c r="A26" s="30"/>
      <c r="B26" s="231" t="s">
        <v>100</v>
      </c>
      <c r="C26" s="50" t="s">
        <v>101</v>
      </c>
      <c r="D26" s="21" t="s">
        <v>102</v>
      </c>
      <c r="E26" s="22">
        <v>410</v>
      </c>
      <c r="F26" s="23" t="s">
        <v>91</v>
      </c>
      <c r="G26" s="24">
        <f t="shared" si="34"/>
        <v>10000000</v>
      </c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>
        <v>10000000</v>
      </c>
      <c r="V26" s="24"/>
      <c r="W26" s="24"/>
      <c r="X26" s="24"/>
      <c r="Y26" s="24"/>
      <c r="Z26" s="24"/>
      <c r="AA26" s="25">
        <f t="shared" si="1"/>
        <v>7.0000000000000007E-2</v>
      </c>
      <c r="AB26" s="24">
        <f t="shared" si="35"/>
        <v>700000</v>
      </c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>
        <f>+'[5]JULIO 2016'!$Y$889</f>
        <v>700000</v>
      </c>
      <c r="AR26" s="24"/>
      <c r="AS26" s="24"/>
      <c r="AT26" s="24"/>
      <c r="AU26" s="24"/>
      <c r="AV26" s="24"/>
      <c r="AW26" s="25">
        <f t="shared" si="3"/>
        <v>0.92999999999999994</v>
      </c>
      <c r="AX26" s="24">
        <f t="shared" si="36"/>
        <v>9300000</v>
      </c>
      <c r="AY26" s="24">
        <f t="shared" ref="AY26:BM59" si="46">H26-AD26</f>
        <v>0</v>
      </c>
      <c r="AZ26" s="24">
        <f t="shared" si="37"/>
        <v>0</v>
      </c>
      <c r="BA26" s="24">
        <f t="shared" si="37"/>
        <v>0</v>
      </c>
      <c r="BB26" s="24">
        <f t="shared" ref="BB26:BM37" si="47">+K26-AG26</f>
        <v>0</v>
      </c>
      <c r="BC26" s="24">
        <f t="shared" si="47"/>
        <v>0</v>
      </c>
      <c r="BD26" s="24">
        <f t="shared" si="47"/>
        <v>0</v>
      </c>
      <c r="BE26" s="24">
        <f t="shared" si="47"/>
        <v>0</v>
      </c>
      <c r="BF26" s="24">
        <f t="shared" si="47"/>
        <v>0</v>
      </c>
      <c r="BG26" s="24">
        <f t="shared" si="47"/>
        <v>0</v>
      </c>
      <c r="BH26" s="24">
        <f t="shared" si="47"/>
        <v>0</v>
      </c>
      <c r="BI26" s="24">
        <f t="shared" si="47"/>
        <v>0</v>
      </c>
      <c r="BJ26" s="24">
        <f t="shared" si="47"/>
        <v>0</v>
      </c>
      <c r="BK26" s="24">
        <f t="shared" si="47"/>
        <v>0</v>
      </c>
      <c r="BL26" s="24">
        <f t="shared" si="47"/>
        <v>9300000</v>
      </c>
      <c r="BM26" s="24">
        <f t="shared" si="47"/>
        <v>0</v>
      </c>
      <c r="BN26" s="24"/>
      <c r="BO26" s="24"/>
      <c r="BP26" s="24"/>
      <c r="BQ26" s="24">
        <f t="shared" ref="BQ26:BQ37" si="48">+Z26-AV26</f>
        <v>0</v>
      </c>
      <c r="BR26" s="25">
        <f t="shared" si="10"/>
        <v>7.0000000000000007E-2</v>
      </c>
      <c r="BS26" s="24">
        <f t="shared" si="39"/>
        <v>700000</v>
      </c>
      <c r="BT26" s="24"/>
      <c r="BU26" s="24"/>
      <c r="BV26" s="24"/>
      <c r="BW26" s="24"/>
      <c r="BX26" s="24"/>
      <c r="BY26" s="24"/>
      <c r="BZ26" s="24"/>
      <c r="CA26" s="24"/>
      <c r="CB26" s="24"/>
      <c r="CC26" s="24"/>
      <c r="CD26" s="24"/>
      <c r="CE26" s="24"/>
      <c r="CF26" s="24"/>
      <c r="CG26" s="24"/>
      <c r="CH26" s="24">
        <f>+'[5]JULIO 2016'!$H$887</f>
        <v>700000</v>
      </c>
      <c r="CI26" s="24"/>
      <c r="CJ26" s="24"/>
      <c r="CK26" s="24"/>
      <c r="CL26" s="24"/>
      <c r="CM26" s="24"/>
      <c r="CN26" s="25">
        <f t="shared" si="12"/>
        <v>0.92999999999999994</v>
      </c>
      <c r="CO26" s="24">
        <f t="shared" si="40"/>
        <v>9300000</v>
      </c>
      <c r="CP26" s="24">
        <f t="shared" ref="CP26:CU59" si="49">H26-BU26</f>
        <v>0</v>
      </c>
      <c r="CQ26" s="24">
        <f t="shared" si="41"/>
        <v>0</v>
      </c>
      <c r="CR26" s="24">
        <f t="shared" si="41"/>
        <v>0</v>
      </c>
      <c r="CS26" s="24">
        <f t="shared" si="41"/>
        <v>0</v>
      </c>
      <c r="CT26" s="24">
        <f t="shared" si="41"/>
        <v>0</v>
      </c>
      <c r="CU26" s="24">
        <f t="shared" si="41"/>
        <v>0</v>
      </c>
      <c r="CV26" s="24">
        <f t="shared" ref="CV26:CX37" si="50">+N26-CA26</f>
        <v>0</v>
      </c>
      <c r="CW26" s="24">
        <f t="shared" si="50"/>
        <v>0</v>
      </c>
      <c r="CX26" s="24">
        <f t="shared" si="50"/>
        <v>0</v>
      </c>
      <c r="CY26" s="24">
        <f t="shared" ref="CY26:DD47" si="51">Q26-CD26</f>
        <v>0</v>
      </c>
      <c r="CZ26" s="24">
        <f t="shared" si="51"/>
        <v>0</v>
      </c>
      <c r="DA26" s="24">
        <f t="shared" si="51"/>
        <v>0</v>
      </c>
      <c r="DB26" s="24">
        <f t="shared" ref="DB26:DD31" si="52">+T26-CG26</f>
        <v>0</v>
      </c>
      <c r="DC26" s="24">
        <f t="shared" si="52"/>
        <v>9300000</v>
      </c>
      <c r="DD26" s="24">
        <f t="shared" si="52"/>
        <v>0</v>
      </c>
      <c r="DE26" s="24"/>
      <c r="DF26" s="24">
        <f t="shared" ref="DF26:DH31" si="53">+X26-CK26</f>
        <v>0</v>
      </c>
      <c r="DG26" s="24">
        <f t="shared" si="53"/>
        <v>0</v>
      </c>
      <c r="DH26" s="24">
        <f t="shared" si="53"/>
        <v>0</v>
      </c>
      <c r="DJ26" s="29">
        <f t="shared" ref="DJ26:DJ89" si="54">+G26</f>
        <v>10000000</v>
      </c>
      <c r="DK26" s="29">
        <f t="shared" si="20"/>
        <v>10000000</v>
      </c>
      <c r="DL26" s="29">
        <f t="shared" si="21"/>
        <v>10000000</v>
      </c>
    </row>
    <row r="27" spans="1:116" ht="33" customHeight="1" x14ac:dyDescent="0.25">
      <c r="A27" s="30"/>
      <c r="B27" s="232"/>
      <c r="C27" s="20" t="s">
        <v>103</v>
      </c>
      <c r="D27" s="21" t="s">
        <v>104</v>
      </c>
      <c r="E27" s="22">
        <v>410</v>
      </c>
      <c r="F27" s="23" t="s">
        <v>105</v>
      </c>
      <c r="G27" s="24">
        <f>SUM(H27:Z27)</f>
        <v>10000000</v>
      </c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>
        <v>10000000</v>
      </c>
      <c r="V27" s="24"/>
      <c r="W27" s="24"/>
      <c r="X27" s="24"/>
      <c r="Y27" s="24"/>
      <c r="Z27" s="24"/>
      <c r="AA27" s="25">
        <f t="shared" si="1"/>
        <v>1</v>
      </c>
      <c r="AB27" s="24">
        <f t="shared" si="35"/>
        <v>10000000</v>
      </c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>
        <f>+'[8]ABRIL 2016'!$Y$572</f>
        <v>10000000</v>
      </c>
      <c r="AR27" s="24"/>
      <c r="AS27" s="24"/>
      <c r="AT27" s="24"/>
      <c r="AU27" s="24"/>
      <c r="AV27" s="24"/>
      <c r="AW27" s="25">
        <f t="shared" si="3"/>
        <v>0</v>
      </c>
      <c r="AX27" s="24">
        <f t="shared" si="36"/>
        <v>0</v>
      </c>
      <c r="AY27" s="24">
        <f t="shared" si="46"/>
        <v>0</v>
      </c>
      <c r="AZ27" s="24">
        <f t="shared" si="37"/>
        <v>0</v>
      </c>
      <c r="BA27" s="24">
        <f t="shared" si="37"/>
        <v>0</v>
      </c>
      <c r="BB27" s="24">
        <f t="shared" si="47"/>
        <v>0</v>
      </c>
      <c r="BC27" s="24">
        <f t="shared" si="47"/>
        <v>0</v>
      </c>
      <c r="BD27" s="24">
        <f t="shared" si="47"/>
        <v>0</v>
      </c>
      <c r="BE27" s="24">
        <f t="shared" si="47"/>
        <v>0</v>
      </c>
      <c r="BF27" s="24">
        <f t="shared" si="47"/>
        <v>0</v>
      </c>
      <c r="BG27" s="24">
        <f t="shared" si="47"/>
        <v>0</v>
      </c>
      <c r="BH27" s="24">
        <f t="shared" si="47"/>
        <v>0</v>
      </c>
      <c r="BI27" s="24">
        <f t="shared" si="47"/>
        <v>0</v>
      </c>
      <c r="BJ27" s="24">
        <f t="shared" si="47"/>
        <v>0</v>
      </c>
      <c r="BK27" s="24">
        <f t="shared" si="47"/>
        <v>0</v>
      </c>
      <c r="BL27" s="24">
        <f t="shared" si="47"/>
        <v>0</v>
      </c>
      <c r="BM27" s="24">
        <f t="shared" si="47"/>
        <v>0</v>
      </c>
      <c r="BN27" s="24"/>
      <c r="BO27" s="24"/>
      <c r="BP27" s="24"/>
      <c r="BQ27" s="24">
        <f t="shared" si="48"/>
        <v>0</v>
      </c>
      <c r="BR27" s="25">
        <f t="shared" si="10"/>
        <v>1</v>
      </c>
      <c r="BS27" s="24">
        <f t="shared" si="39"/>
        <v>10000000</v>
      </c>
      <c r="BT27" s="24"/>
      <c r="BU27" s="24"/>
      <c r="BV27" s="24"/>
      <c r="BW27" s="24"/>
      <c r="BX27" s="24"/>
      <c r="BY27" s="24"/>
      <c r="BZ27" s="24"/>
      <c r="CA27" s="24"/>
      <c r="CB27" s="24"/>
      <c r="CC27" s="24"/>
      <c r="CD27" s="24"/>
      <c r="CE27" s="24"/>
      <c r="CF27" s="24"/>
      <c r="CG27" s="24"/>
      <c r="CH27" s="24">
        <f>+'[8]ABRIL 2016'!$Y$572</f>
        <v>10000000</v>
      </c>
      <c r="CI27" s="24"/>
      <c r="CJ27" s="24"/>
      <c r="CK27" s="24"/>
      <c r="CL27" s="24"/>
      <c r="CM27" s="24"/>
      <c r="CN27" s="25">
        <f t="shared" si="12"/>
        <v>0</v>
      </c>
      <c r="CO27" s="24">
        <f t="shared" si="40"/>
        <v>0</v>
      </c>
      <c r="CP27" s="24">
        <f t="shared" si="49"/>
        <v>0</v>
      </c>
      <c r="CQ27" s="24">
        <f t="shared" si="41"/>
        <v>0</v>
      </c>
      <c r="CR27" s="24">
        <f t="shared" si="41"/>
        <v>0</v>
      </c>
      <c r="CS27" s="24">
        <f t="shared" si="41"/>
        <v>0</v>
      </c>
      <c r="CT27" s="24">
        <f t="shared" si="41"/>
        <v>0</v>
      </c>
      <c r="CU27" s="24">
        <f t="shared" si="41"/>
        <v>0</v>
      </c>
      <c r="CV27" s="24">
        <f t="shared" si="50"/>
        <v>0</v>
      </c>
      <c r="CW27" s="24">
        <f t="shared" si="50"/>
        <v>0</v>
      </c>
      <c r="CX27" s="24">
        <f t="shared" si="50"/>
        <v>0</v>
      </c>
      <c r="CY27" s="24">
        <f t="shared" si="51"/>
        <v>0</v>
      </c>
      <c r="CZ27" s="24">
        <f t="shared" si="51"/>
        <v>0</v>
      </c>
      <c r="DA27" s="24">
        <f t="shared" si="51"/>
        <v>0</v>
      </c>
      <c r="DB27" s="24">
        <f t="shared" si="52"/>
        <v>0</v>
      </c>
      <c r="DC27" s="24">
        <f t="shared" si="52"/>
        <v>0</v>
      </c>
      <c r="DD27" s="24">
        <f t="shared" si="52"/>
        <v>0</v>
      </c>
      <c r="DE27" s="24"/>
      <c r="DF27" s="24">
        <f t="shared" si="53"/>
        <v>0</v>
      </c>
      <c r="DG27" s="24">
        <f t="shared" si="53"/>
        <v>0</v>
      </c>
      <c r="DH27" s="24">
        <f t="shared" si="53"/>
        <v>0</v>
      </c>
      <c r="DJ27" s="29">
        <f t="shared" si="54"/>
        <v>10000000</v>
      </c>
      <c r="DK27" s="29">
        <f t="shared" si="20"/>
        <v>10000000</v>
      </c>
      <c r="DL27" s="29">
        <f t="shared" si="21"/>
        <v>10000000</v>
      </c>
    </row>
    <row r="28" spans="1:116" ht="30" x14ac:dyDescent="0.25">
      <c r="A28" s="30"/>
      <c r="B28" s="232"/>
      <c r="C28" s="20" t="s">
        <v>106</v>
      </c>
      <c r="D28" s="21" t="s">
        <v>107</v>
      </c>
      <c r="E28" s="22">
        <v>410</v>
      </c>
      <c r="F28" s="23" t="s">
        <v>105</v>
      </c>
      <c r="G28" s="24">
        <f t="shared" si="34"/>
        <v>0</v>
      </c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>
        <f>20000000-20000000</f>
        <v>0</v>
      </c>
      <c r="V28" s="24"/>
      <c r="W28" s="24"/>
      <c r="X28" s="24"/>
      <c r="Y28" s="24"/>
      <c r="Z28" s="24"/>
      <c r="AA28" s="25" t="e">
        <f t="shared" si="1"/>
        <v>#DIV/0!</v>
      </c>
      <c r="AB28" s="24">
        <f t="shared" si="35"/>
        <v>0</v>
      </c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5" t="e">
        <f t="shared" si="3"/>
        <v>#DIV/0!</v>
      </c>
      <c r="AX28" s="24">
        <f t="shared" si="36"/>
        <v>0</v>
      </c>
      <c r="AY28" s="24">
        <f t="shared" si="46"/>
        <v>0</v>
      </c>
      <c r="AZ28" s="24">
        <f t="shared" si="37"/>
        <v>0</v>
      </c>
      <c r="BA28" s="24">
        <f t="shared" si="37"/>
        <v>0</v>
      </c>
      <c r="BB28" s="24">
        <f t="shared" si="47"/>
        <v>0</v>
      </c>
      <c r="BC28" s="24">
        <f t="shared" si="47"/>
        <v>0</v>
      </c>
      <c r="BD28" s="24">
        <f t="shared" si="47"/>
        <v>0</v>
      </c>
      <c r="BE28" s="24">
        <f t="shared" si="47"/>
        <v>0</v>
      </c>
      <c r="BF28" s="24">
        <f t="shared" si="47"/>
        <v>0</v>
      </c>
      <c r="BG28" s="24">
        <f t="shared" si="47"/>
        <v>0</v>
      </c>
      <c r="BH28" s="24">
        <f t="shared" si="47"/>
        <v>0</v>
      </c>
      <c r="BI28" s="24">
        <f t="shared" si="47"/>
        <v>0</v>
      </c>
      <c r="BJ28" s="24">
        <f t="shared" si="47"/>
        <v>0</v>
      </c>
      <c r="BK28" s="24">
        <f t="shared" si="47"/>
        <v>0</v>
      </c>
      <c r="BL28" s="24">
        <f t="shared" si="47"/>
        <v>0</v>
      </c>
      <c r="BM28" s="24">
        <f t="shared" si="47"/>
        <v>0</v>
      </c>
      <c r="BN28" s="24"/>
      <c r="BO28" s="24"/>
      <c r="BP28" s="24"/>
      <c r="BQ28" s="24">
        <f t="shared" si="48"/>
        <v>0</v>
      </c>
      <c r="BR28" s="25" t="e">
        <f t="shared" si="10"/>
        <v>#DIV/0!</v>
      </c>
      <c r="BS28" s="24">
        <f t="shared" si="39"/>
        <v>0</v>
      </c>
      <c r="BT28" s="24"/>
      <c r="BU28" s="24"/>
      <c r="BV28" s="24"/>
      <c r="BW28" s="24"/>
      <c r="BX28" s="24"/>
      <c r="BY28" s="24"/>
      <c r="BZ28" s="24"/>
      <c r="CA28" s="24"/>
      <c r="CB28" s="24"/>
      <c r="CC28" s="24"/>
      <c r="CD28" s="24"/>
      <c r="CE28" s="24"/>
      <c r="CF28" s="24"/>
      <c r="CG28" s="24"/>
      <c r="CH28" s="24"/>
      <c r="CI28" s="24"/>
      <c r="CJ28" s="24"/>
      <c r="CK28" s="24"/>
      <c r="CL28" s="24"/>
      <c r="CM28" s="24"/>
      <c r="CN28" s="25" t="e">
        <f t="shared" si="12"/>
        <v>#DIV/0!</v>
      </c>
      <c r="CO28" s="24">
        <f t="shared" si="40"/>
        <v>0</v>
      </c>
      <c r="CP28" s="24">
        <f t="shared" si="49"/>
        <v>0</v>
      </c>
      <c r="CQ28" s="24">
        <f t="shared" si="41"/>
        <v>0</v>
      </c>
      <c r="CR28" s="24">
        <f t="shared" si="41"/>
        <v>0</v>
      </c>
      <c r="CS28" s="24">
        <f t="shared" si="41"/>
        <v>0</v>
      </c>
      <c r="CT28" s="24">
        <f t="shared" si="41"/>
        <v>0</v>
      </c>
      <c r="CU28" s="24">
        <f t="shared" si="41"/>
        <v>0</v>
      </c>
      <c r="CV28" s="24">
        <f t="shared" si="50"/>
        <v>0</v>
      </c>
      <c r="CW28" s="24">
        <f t="shared" si="50"/>
        <v>0</v>
      </c>
      <c r="CX28" s="24">
        <f t="shared" si="50"/>
        <v>0</v>
      </c>
      <c r="CY28" s="24">
        <f t="shared" si="51"/>
        <v>0</v>
      </c>
      <c r="CZ28" s="24">
        <f t="shared" si="51"/>
        <v>0</v>
      </c>
      <c r="DA28" s="24">
        <f t="shared" si="51"/>
        <v>0</v>
      </c>
      <c r="DB28" s="24">
        <f t="shared" si="52"/>
        <v>0</v>
      </c>
      <c r="DC28" s="24">
        <f t="shared" si="52"/>
        <v>0</v>
      </c>
      <c r="DD28" s="24">
        <f t="shared" si="52"/>
        <v>0</v>
      </c>
      <c r="DE28" s="24"/>
      <c r="DF28" s="24">
        <f t="shared" si="53"/>
        <v>0</v>
      </c>
      <c r="DG28" s="24">
        <f t="shared" si="53"/>
        <v>0</v>
      </c>
      <c r="DH28" s="24">
        <f t="shared" si="53"/>
        <v>0</v>
      </c>
      <c r="DJ28" s="29">
        <f t="shared" si="54"/>
        <v>0</v>
      </c>
      <c r="DK28" s="29">
        <f t="shared" si="20"/>
        <v>0</v>
      </c>
      <c r="DL28" s="29">
        <f t="shared" si="21"/>
        <v>0</v>
      </c>
    </row>
    <row r="29" spans="1:116" ht="30" x14ac:dyDescent="0.25">
      <c r="A29" s="30"/>
      <c r="B29" s="232"/>
      <c r="C29" s="20" t="s">
        <v>108</v>
      </c>
      <c r="D29" s="21" t="s">
        <v>109</v>
      </c>
      <c r="E29" s="22">
        <v>410</v>
      </c>
      <c r="F29" s="23" t="s">
        <v>105</v>
      </c>
      <c r="G29" s="24">
        <f t="shared" si="34"/>
        <v>27000000</v>
      </c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>
        <f>50000000-23000000</f>
        <v>27000000</v>
      </c>
      <c r="V29" s="24"/>
      <c r="W29" s="24"/>
      <c r="X29" s="24"/>
      <c r="Y29" s="24"/>
      <c r="Z29" s="24"/>
      <c r="AA29" s="25">
        <f t="shared" si="1"/>
        <v>1</v>
      </c>
      <c r="AB29" s="24">
        <f t="shared" si="35"/>
        <v>27000000</v>
      </c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>
        <f>+'[8]ABRIL 2016'!$Y$585</f>
        <v>27000000</v>
      </c>
      <c r="AR29" s="24"/>
      <c r="AS29" s="24"/>
      <c r="AT29" s="24"/>
      <c r="AU29" s="24"/>
      <c r="AV29" s="24"/>
      <c r="AW29" s="25">
        <f t="shared" si="3"/>
        <v>0</v>
      </c>
      <c r="AX29" s="24">
        <f t="shared" si="36"/>
        <v>0</v>
      </c>
      <c r="AY29" s="24">
        <f t="shared" si="46"/>
        <v>0</v>
      </c>
      <c r="AZ29" s="24">
        <f t="shared" si="37"/>
        <v>0</v>
      </c>
      <c r="BA29" s="24">
        <f t="shared" si="37"/>
        <v>0</v>
      </c>
      <c r="BB29" s="24">
        <f t="shared" si="47"/>
        <v>0</v>
      </c>
      <c r="BC29" s="24">
        <f t="shared" si="47"/>
        <v>0</v>
      </c>
      <c r="BD29" s="24">
        <f t="shared" si="47"/>
        <v>0</v>
      </c>
      <c r="BE29" s="24">
        <f t="shared" si="47"/>
        <v>0</v>
      </c>
      <c r="BF29" s="24">
        <f t="shared" si="47"/>
        <v>0</v>
      </c>
      <c r="BG29" s="24">
        <f t="shared" si="47"/>
        <v>0</v>
      </c>
      <c r="BH29" s="24">
        <f t="shared" si="47"/>
        <v>0</v>
      </c>
      <c r="BI29" s="24">
        <f t="shared" si="47"/>
        <v>0</v>
      </c>
      <c r="BJ29" s="24">
        <f t="shared" si="47"/>
        <v>0</v>
      </c>
      <c r="BK29" s="24">
        <f t="shared" si="47"/>
        <v>0</v>
      </c>
      <c r="BL29" s="24">
        <f t="shared" si="47"/>
        <v>0</v>
      </c>
      <c r="BM29" s="24">
        <f t="shared" si="47"/>
        <v>0</v>
      </c>
      <c r="BN29" s="24"/>
      <c r="BO29" s="24"/>
      <c r="BP29" s="24"/>
      <c r="BQ29" s="24">
        <f t="shared" si="48"/>
        <v>0</v>
      </c>
      <c r="BR29" s="25">
        <f t="shared" si="10"/>
        <v>0.80074074074074075</v>
      </c>
      <c r="BS29" s="24">
        <f t="shared" si="39"/>
        <v>21620000</v>
      </c>
      <c r="BT29" s="24"/>
      <c r="BU29" s="24"/>
      <c r="BV29" s="24"/>
      <c r="BW29" s="24"/>
      <c r="BX29" s="24"/>
      <c r="BY29" s="24"/>
      <c r="BZ29" s="24"/>
      <c r="CA29" s="24"/>
      <c r="CB29" s="24"/>
      <c r="CC29" s="24"/>
      <c r="CD29" s="24"/>
      <c r="CE29" s="24"/>
      <c r="CF29" s="24"/>
      <c r="CG29" s="24"/>
      <c r="CH29" s="24">
        <f>+'[1]SEPTIEMBRE 2016'!$H$1291</f>
        <v>21620000</v>
      </c>
      <c r="CI29" s="24"/>
      <c r="CJ29" s="24"/>
      <c r="CK29" s="24"/>
      <c r="CL29" s="24"/>
      <c r="CM29" s="24"/>
      <c r="CN29" s="25">
        <f t="shared" si="12"/>
        <v>0.19925925925925925</v>
      </c>
      <c r="CO29" s="24">
        <f t="shared" si="40"/>
        <v>5380000</v>
      </c>
      <c r="CP29" s="24">
        <f t="shared" si="49"/>
        <v>0</v>
      </c>
      <c r="CQ29" s="24">
        <f t="shared" si="41"/>
        <v>0</v>
      </c>
      <c r="CR29" s="24">
        <f t="shared" si="41"/>
        <v>0</v>
      </c>
      <c r="CS29" s="24">
        <f t="shared" si="41"/>
        <v>0</v>
      </c>
      <c r="CT29" s="24">
        <f t="shared" si="41"/>
        <v>0</v>
      </c>
      <c r="CU29" s="24">
        <f t="shared" si="41"/>
        <v>0</v>
      </c>
      <c r="CV29" s="24">
        <f t="shared" si="50"/>
        <v>0</v>
      </c>
      <c r="CW29" s="24">
        <f t="shared" si="50"/>
        <v>0</v>
      </c>
      <c r="CX29" s="24">
        <f t="shared" si="50"/>
        <v>0</v>
      </c>
      <c r="CY29" s="24">
        <f t="shared" si="51"/>
        <v>0</v>
      </c>
      <c r="CZ29" s="24">
        <f t="shared" si="51"/>
        <v>0</v>
      </c>
      <c r="DA29" s="24">
        <f t="shared" si="51"/>
        <v>0</v>
      </c>
      <c r="DB29" s="24">
        <f t="shared" si="52"/>
        <v>0</v>
      </c>
      <c r="DC29" s="24">
        <f t="shared" si="52"/>
        <v>5380000</v>
      </c>
      <c r="DD29" s="24">
        <f t="shared" si="52"/>
        <v>0</v>
      </c>
      <c r="DE29" s="24"/>
      <c r="DF29" s="24">
        <f t="shared" si="53"/>
        <v>0</v>
      </c>
      <c r="DG29" s="24">
        <f t="shared" si="53"/>
        <v>0</v>
      </c>
      <c r="DH29" s="24">
        <f t="shared" si="53"/>
        <v>0</v>
      </c>
      <c r="DJ29" s="29">
        <f t="shared" si="54"/>
        <v>27000000</v>
      </c>
      <c r="DK29" s="29">
        <f t="shared" si="20"/>
        <v>27000000</v>
      </c>
      <c r="DL29" s="29">
        <f t="shared" si="21"/>
        <v>27000000</v>
      </c>
    </row>
    <row r="30" spans="1:116" ht="37.5" customHeight="1" x14ac:dyDescent="0.25">
      <c r="A30" s="30"/>
      <c r="B30" s="232"/>
      <c r="C30" s="20" t="s">
        <v>110</v>
      </c>
      <c r="D30" s="21" t="s">
        <v>111</v>
      </c>
      <c r="E30" s="22">
        <v>410</v>
      </c>
      <c r="F30" s="23" t="s">
        <v>112</v>
      </c>
      <c r="G30" s="24">
        <f t="shared" si="34"/>
        <v>122300000</v>
      </c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>
        <v>17300000</v>
      </c>
      <c r="S30" s="24"/>
      <c r="T30" s="24"/>
      <c r="U30" s="24">
        <v>100000000</v>
      </c>
      <c r="V30" s="24"/>
      <c r="W30" s="24"/>
      <c r="X30" s="24"/>
      <c r="Y30" s="24"/>
      <c r="Z30" s="24">
        <v>5000000</v>
      </c>
      <c r="AA30" s="25">
        <f t="shared" si="1"/>
        <v>0.86683854456255105</v>
      </c>
      <c r="AB30" s="24">
        <f t="shared" si="35"/>
        <v>106014354</v>
      </c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>
        <f>+'[1]SEPTIEMBRE 2016'!$V$1305</f>
        <v>5611743</v>
      </c>
      <c r="AO30" s="24"/>
      <c r="AP30" s="24"/>
      <c r="AQ30" s="24">
        <f>+'[1]SEPTIEMBRE 2016'!$Y$1305</f>
        <v>99252111</v>
      </c>
      <c r="AR30" s="24"/>
      <c r="AS30" s="24"/>
      <c r="AT30" s="24"/>
      <c r="AU30" s="24"/>
      <c r="AV30" s="24">
        <v>1150500</v>
      </c>
      <c r="AW30" s="25">
        <f t="shared" si="3"/>
        <v>0.13316145543744895</v>
      </c>
      <c r="AX30" s="24">
        <f t="shared" si="36"/>
        <v>16285646</v>
      </c>
      <c r="AY30" s="24">
        <f t="shared" si="46"/>
        <v>0</v>
      </c>
      <c r="AZ30" s="24">
        <f t="shared" si="37"/>
        <v>0</v>
      </c>
      <c r="BA30" s="24">
        <f t="shared" si="37"/>
        <v>0</v>
      </c>
      <c r="BB30" s="24">
        <f t="shared" si="47"/>
        <v>0</v>
      </c>
      <c r="BC30" s="24">
        <f t="shared" si="47"/>
        <v>0</v>
      </c>
      <c r="BD30" s="24">
        <f t="shared" si="47"/>
        <v>0</v>
      </c>
      <c r="BE30" s="24">
        <f t="shared" si="47"/>
        <v>0</v>
      </c>
      <c r="BF30" s="24">
        <f t="shared" si="47"/>
        <v>0</v>
      </c>
      <c r="BG30" s="24">
        <f t="shared" si="47"/>
        <v>0</v>
      </c>
      <c r="BH30" s="24">
        <f t="shared" si="47"/>
        <v>0</v>
      </c>
      <c r="BI30" s="24">
        <f t="shared" si="47"/>
        <v>11688257</v>
      </c>
      <c r="BJ30" s="24">
        <f t="shared" si="47"/>
        <v>0</v>
      </c>
      <c r="BK30" s="24">
        <f t="shared" si="47"/>
        <v>0</v>
      </c>
      <c r="BL30" s="24">
        <f t="shared" si="47"/>
        <v>747889</v>
      </c>
      <c r="BM30" s="24">
        <f t="shared" si="47"/>
        <v>0</v>
      </c>
      <c r="BN30" s="24"/>
      <c r="BO30" s="24"/>
      <c r="BP30" s="24"/>
      <c r="BQ30" s="24">
        <f t="shared" si="48"/>
        <v>3849500</v>
      </c>
      <c r="BR30" s="25">
        <f t="shared" si="10"/>
        <v>0.86683854456255105</v>
      </c>
      <c r="BS30" s="24">
        <f t="shared" si="39"/>
        <v>106014354</v>
      </c>
      <c r="BT30" s="24"/>
      <c r="BU30" s="24"/>
      <c r="BV30" s="24"/>
      <c r="BW30" s="24"/>
      <c r="BX30" s="24"/>
      <c r="BY30" s="24"/>
      <c r="BZ30" s="24"/>
      <c r="CA30" s="24"/>
      <c r="CB30" s="24"/>
      <c r="CC30" s="24"/>
      <c r="CD30" s="24"/>
      <c r="CE30" s="24">
        <f>+'[1]SEPTIEMBRE 2016'!$V$1305</f>
        <v>5611743</v>
      </c>
      <c r="CF30" s="24"/>
      <c r="CG30" s="24"/>
      <c r="CH30" s="24">
        <f>+'[1]SEPTIEMBRE 2016'!$Y$1305</f>
        <v>99252111</v>
      </c>
      <c r="CI30" s="24"/>
      <c r="CJ30" s="24"/>
      <c r="CK30" s="24"/>
      <c r="CL30" s="24"/>
      <c r="CM30" s="24">
        <v>1150500</v>
      </c>
      <c r="CN30" s="25">
        <f t="shared" si="12"/>
        <v>0.13316145543744895</v>
      </c>
      <c r="CO30" s="24">
        <f t="shared" si="40"/>
        <v>16285646</v>
      </c>
      <c r="CP30" s="24">
        <f t="shared" si="49"/>
        <v>0</v>
      </c>
      <c r="CQ30" s="24">
        <f t="shared" si="41"/>
        <v>0</v>
      </c>
      <c r="CR30" s="24">
        <f t="shared" si="41"/>
        <v>0</v>
      </c>
      <c r="CS30" s="24">
        <f t="shared" si="41"/>
        <v>0</v>
      </c>
      <c r="CT30" s="24">
        <f t="shared" si="41"/>
        <v>0</v>
      </c>
      <c r="CU30" s="24">
        <f t="shared" si="41"/>
        <v>0</v>
      </c>
      <c r="CV30" s="24">
        <f t="shared" si="50"/>
        <v>0</v>
      </c>
      <c r="CW30" s="24">
        <f t="shared" si="50"/>
        <v>0</v>
      </c>
      <c r="CX30" s="24">
        <f t="shared" si="50"/>
        <v>0</v>
      </c>
      <c r="CY30" s="24">
        <f t="shared" si="51"/>
        <v>0</v>
      </c>
      <c r="CZ30" s="24">
        <f t="shared" si="51"/>
        <v>11688257</v>
      </c>
      <c r="DA30" s="24">
        <f t="shared" si="51"/>
        <v>0</v>
      </c>
      <c r="DB30" s="24">
        <f t="shared" si="52"/>
        <v>0</v>
      </c>
      <c r="DC30" s="24">
        <f t="shared" si="52"/>
        <v>747889</v>
      </c>
      <c r="DD30" s="24">
        <f t="shared" si="52"/>
        <v>0</v>
      </c>
      <c r="DE30" s="24"/>
      <c r="DF30" s="24">
        <f t="shared" si="53"/>
        <v>0</v>
      </c>
      <c r="DG30" s="24">
        <f t="shared" si="53"/>
        <v>0</v>
      </c>
      <c r="DH30" s="24">
        <f t="shared" si="53"/>
        <v>3849500</v>
      </c>
      <c r="DJ30" s="29">
        <f t="shared" si="54"/>
        <v>122300000</v>
      </c>
      <c r="DK30" s="29">
        <f t="shared" si="20"/>
        <v>122300000</v>
      </c>
      <c r="DL30" s="29">
        <f t="shared" si="21"/>
        <v>122300000</v>
      </c>
    </row>
    <row r="31" spans="1:116" ht="33.75" customHeight="1" x14ac:dyDescent="0.25">
      <c r="A31" s="30"/>
      <c r="B31" s="232"/>
      <c r="C31" s="20" t="s">
        <v>113</v>
      </c>
      <c r="D31" s="21" t="s">
        <v>114</v>
      </c>
      <c r="E31" s="22">
        <v>410</v>
      </c>
      <c r="F31" s="23" t="s">
        <v>105</v>
      </c>
      <c r="G31" s="24">
        <f t="shared" si="34"/>
        <v>100000000</v>
      </c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>
        <v>100000000</v>
      </c>
      <c r="V31" s="24"/>
      <c r="W31" s="24"/>
      <c r="X31" s="24"/>
      <c r="Y31" s="24"/>
      <c r="Z31" s="24"/>
      <c r="AA31" s="25">
        <f t="shared" si="1"/>
        <v>0.85333278999999995</v>
      </c>
      <c r="AB31" s="24">
        <f t="shared" si="35"/>
        <v>85333279</v>
      </c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>
        <f>+'[1]SEPTIEMBRE 2016'!$Y$1363</f>
        <v>85333279</v>
      </c>
      <c r="AR31" s="24"/>
      <c r="AS31" s="24"/>
      <c r="AT31" s="24"/>
      <c r="AU31" s="24"/>
      <c r="AV31" s="24"/>
      <c r="AW31" s="25">
        <f t="shared" si="3"/>
        <v>0.14666721000000005</v>
      </c>
      <c r="AX31" s="24">
        <f t="shared" si="36"/>
        <v>14666721</v>
      </c>
      <c r="AY31" s="24">
        <f t="shared" si="46"/>
        <v>0</v>
      </c>
      <c r="AZ31" s="24">
        <f t="shared" si="37"/>
        <v>0</v>
      </c>
      <c r="BA31" s="24">
        <f t="shared" si="37"/>
        <v>0</v>
      </c>
      <c r="BB31" s="24">
        <f t="shared" si="47"/>
        <v>0</v>
      </c>
      <c r="BC31" s="24">
        <f t="shared" si="47"/>
        <v>0</v>
      </c>
      <c r="BD31" s="24">
        <f t="shared" si="47"/>
        <v>0</v>
      </c>
      <c r="BE31" s="24">
        <f t="shared" si="47"/>
        <v>0</v>
      </c>
      <c r="BF31" s="24">
        <f t="shared" si="47"/>
        <v>0</v>
      </c>
      <c r="BG31" s="24">
        <f t="shared" si="47"/>
        <v>0</v>
      </c>
      <c r="BH31" s="24">
        <f t="shared" si="47"/>
        <v>0</v>
      </c>
      <c r="BI31" s="24">
        <f t="shared" si="47"/>
        <v>0</v>
      </c>
      <c r="BJ31" s="24">
        <f t="shared" si="47"/>
        <v>0</v>
      </c>
      <c r="BK31" s="24">
        <f t="shared" si="47"/>
        <v>0</v>
      </c>
      <c r="BL31" s="24">
        <f t="shared" si="47"/>
        <v>14666721</v>
      </c>
      <c r="BM31" s="24">
        <f t="shared" si="47"/>
        <v>0</v>
      </c>
      <c r="BN31" s="24"/>
      <c r="BO31" s="24"/>
      <c r="BP31" s="24"/>
      <c r="BQ31" s="24">
        <f t="shared" si="48"/>
        <v>0</v>
      </c>
      <c r="BR31" s="25">
        <f t="shared" si="10"/>
        <v>0.85333278999999995</v>
      </c>
      <c r="BS31" s="24">
        <f t="shared" si="39"/>
        <v>85333279</v>
      </c>
      <c r="BT31" s="24"/>
      <c r="BU31" s="24"/>
      <c r="BV31" s="24"/>
      <c r="BW31" s="24"/>
      <c r="BX31" s="24"/>
      <c r="BY31" s="24"/>
      <c r="BZ31" s="24"/>
      <c r="CA31" s="24"/>
      <c r="CB31" s="24"/>
      <c r="CC31" s="24"/>
      <c r="CD31" s="24"/>
      <c r="CE31" s="24"/>
      <c r="CF31" s="24"/>
      <c r="CG31" s="24"/>
      <c r="CH31" s="24">
        <f>+'[1]SEPTIEMBRE 2016'!$H$1361</f>
        <v>85333279</v>
      </c>
      <c r="CI31" s="24"/>
      <c r="CJ31" s="24"/>
      <c r="CK31" s="24"/>
      <c r="CL31" s="24"/>
      <c r="CM31" s="24"/>
      <c r="CN31" s="25">
        <f t="shared" si="12"/>
        <v>0.14666721000000005</v>
      </c>
      <c r="CO31" s="24">
        <f t="shared" si="40"/>
        <v>14666721</v>
      </c>
      <c r="CP31" s="24">
        <f t="shared" si="49"/>
        <v>0</v>
      </c>
      <c r="CQ31" s="24">
        <f t="shared" si="41"/>
        <v>0</v>
      </c>
      <c r="CR31" s="24">
        <f t="shared" si="41"/>
        <v>0</v>
      </c>
      <c r="CS31" s="24">
        <f t="shared" si="41"/>
        <v>0</v>
      </c>
      <c r="CT31" s="24">
        <f t="shared" si="41"/>
        <v>0</v>
      </c>
      <c r="CU31" s="24">
        <f t="shared" si="41"/>
        <v>0</v>
      </c>
      <c r="CV31" s="24">
        <f t="shared" si="50"/>
        <v>0</v>
      </c>
      <c r="CW31" s="24">
        <f t="shared" si="50"/>
        <v>0</v>
      </c>
      <c r="CX31" s="24">
        <f t="shared" si="50"/>
        <v>0</v>
      </c>
      <c r="CY31" s="24">
        <f t="shared" si="51"/>
        <v>0</v>
      </c>
      <c r="CZ31" s="24">
        <f t="shared" si="51"/>
        <v>0</v>
      </c>
      <c r="DA31" s="24">
        <f t="shared" si="51"/>
        <v>0</v>
      </c>
      <c r="DB31" s="24">
        <f t="shared" si="52"/>
        <v>0</v>
      </c>
      <c r="DC31" s="24">
        <f t="shared" si="52"/>
        <v>14666721</v>
      </c>
      <c r="DD31" s="24">
        <f t="shared" si="52"/>
        <v>0</v>
      </c>
      <c r="DE31" s="24"/>
      <c r="DF31" s="24">
        <f t="shared" si="53"/>
        <v>0</v>
      </c>
      <c r="DG31" s="24">
        <f t="shared" si="53"/>
        <v>0</v>
      </c>
      <c r="DH31" s="24">
        <f t="shared" si="53"/>
        <v>0</v>
      </c>
      <c r="DJ31" s="29">
        <f t="shared" si="54"/>
        <v>100000000</v>
      </c>
      <c r="DK31" s="29">
        <f t="shared" si="20"/>
        <v>100000000</v>
      </c>
      <c r="DL31" s="29">
        <f t="shared" si="21"/>
        <v>100000000</v>
      </c>
    </row>
    <row r="32" spans="1:116" ht="22.5" customHeight="1" x14ac:dyDescent="0.25">
      <c r="A32" s="30"/>
      <c r="B32" s="232"/>
      <c r="C32" s="20" t="s">
        <v>115</v>
      </c>
      <c r="D32" s="21" t="s">
        <v>116</v>
      </c>
      <c r="E32" s="22">
        <v>410</v>
      </c>
      <c r="F32" s="23" t="s">
        <v>76</v>
      </c>
      <c r="G32" s="24">
        <f t="shared" si="34"/>
        <v>17000000</v>
      </c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>
        <f>6000000+2000000+4000000+5000000</f>
        <v>17000000</v>
      </c>
      <c r="AA32" s="25">
        <f t="shared" si="1"/>
        <v>0.70588223529411764</v>
      </c>
      <c r="AB32" s="24">
        <f t="shared" si="35"/>
        <v>11999998</v>
      </c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>
        <f>+'[4]AGOSTO 2016'!$AG$1142</f>
        <v>11999998</v>
      </c>
      <c r="AW32" s="25">
        <f t="shared" si="3"/>
        <v>0.29411776470588236</v>
      </c>
      <c r="AX32" s="24">
        <f t="shared" si="36"/>
        <v>5000002</v>
      </c>
      <c r="AY32" s="24">
        <f t="shared" si="46"/>
        <v>0</v>
      </c>
      <c r="AZ32" s="24">
        <f t="shared" si="37"/>
        <v>0</v>
      </c>
      <c r="BA32" s="24">
        <f t="shared" si="37"/>
        <v>0</v>
      </c>
      <c r="BB32" s="24">
        <f t="shared" si="47"/>
        <v>0</v>
      </c>
      <c r="BC32" s="24">
        <f t="shared" si="47"/>
        <v>0</v>
      </c>
      <c r="BD32" s="24">
        <f t="shared" si="47"/>
        <v>0</v>
      </c>
      <c r="BE32" s="24">
        <f t="shared" si="47"/>
        <v>0</v>
      </c>
      <c r="BF32" s="24">
        <f t="shared" si="47"/>
        <v>0</v>
      </c>
      <c r="BG32" s="24">
        <f t="shared" si="47"/>
        <v>0</v>
      </c>
      <c r="BH32" s="24">
        <f t="shared" si="47"/>
        <v>0</v>
      </c>
      <c r="BI32" s="24">
        <f t="shared" si="47"/>
        <v>0</v>
      </c>
      <c r="BJ32" s="24">
        <f t="shared" si="47"/>
        <v>0</v>
      </c>
      <c r="BK32" s="24"/>
      <c r="BL32" s="24">
        <f t="shared" si="47"/>
        <v>0</v>
      </c>
      <c r="BM32" s="24">
        <f t="shared" si="47"/>
        <v>0</v>
      </c>
      <c r="BN32" s="24"/>
      <c r="BO32" s="24"/>
      <c r="BP32" s="24"/>
      <c r="BQ32" s="24">
        <f t="shared" si="48"/>
        <v>5000002</v>
      </c>
      <c r="BR32" s="25">
        <f t="shared" si="10"/>
        <v>0.70588223529411764</v>
      </c>
      <c r="BS32" s="24">
        <f t="shared" si="39"/>
        <v>11999998</v>
      </c>
      <c r="BT32" s="24"/>
      <c r="BU32" s="24"/>
      <c r="BV32" s="24"/>
      <c r="BW32" s="24"/>
      <c r="BX32" s="24"/>
      <c r="BY32" s="24"/>
      <c r="BZ32" s="24"/>
      <c r="CA32" s="24"/>
      <c r="CB32" s="24"/>
      <c r="CC32" s="24"/>
      <c r="CD32" s="24"/>
      <c r="CE32" s="24"/>
      <c r="CF32" s="24"/>
      <c r="CG32" s="24"/>
      <c r="CH32" s="24"/>
      <c r="CI32" s="24"/>
      <c r="CJ32" s="24"/>
      <c r="CK32" s="24"/>
      <c r="CL32" s="24"/>
      <c r="CM32" s="24">
        <f>+'[1]SEPTIEMBRE 2016'!$H$1388</f>
        <v>11999998</v>
      </c>
      <c r="CN32" s="25">
        <f t="shared" si="12"/>
        <v>0.29411776470588236</v>
      </c>
      <c r="CO32" s="24">
        <f t="shared" si="40"/>
        <v>5000002</v>
      </c>
      <c r="CP32" s="24">
        <f t="shared" si="49"/>
        <v>0</v>
      </c>
      <c r="CQ32" s="24">
        <f t="shared" si="41"/>
        <v>0</v>
      </c>
      <c r="CR32" s="24">
        <f t="shared" si="41"/>
        <v>0</v>
      </c>
      <c r="CS32" s="24">
        <f t="shared" si="41"/>
        <v>0</v>
      </c>
      <c r="CT32" s="24">
        <f t="shared" si="41"/>
        <v>0</v>
      </c>
      <c r="CU32" s="24">
        <f t="shared" si="41"/>
        <v>0</v>
      </c>
      <c r="CV32" s="24">
        <f t="shared" si="50"/>
        <v>0</v>
      </c>
      <c r="CW32" s="24">
        <f t="shared" si="50"/>
        <v>0</v>
      </c>
      <c r="CX32" s="24">
        <f t="shared" si="50"/>
        <v>0</v>
      </c>
      <c r="CY32" s="24">
        <f t="shared" si="51"/>
        <v>0</v>
      </c>
      <c r="CZ32" s="24">
        <f t="shared" si="51"/>
        <v>0</v>
      </c>
      <c r="DA32" s="24">
        <f t="shared" si="51"/>
        <v>0</v>
      </c>
      <c r="DB32" s="24">
        <f t="shared" si="51"/>
        <v>0</v>
      </c>
      <c r="DC32" s="24">
        <f t="shared" si="51"/>
        <v>0</v>
      </c>
      <c r="DD32" s="24">
        <f t="shared" si="51"/>
        <v>0</v>
      </c>
      <c r="DE32" s="24"/>
      <c r="DF32" s="24">
        <f t="shared" ref="DF32:DH47" si="55">X32-CK32</f>
        <v>0</v>
      </c>
      <c r="DG32" s="24">
        <f t="shared" si="55"/>
        <v>0</v>
      </c>
      <c r="DH32" s="24">
        <f t="shared" si="55"/>
        <v>5000002</v>
      </c>
      <c r="DJ32" s="29">
        <f t="shared" si="54"/>
        <v>17000000</v>
      </c>
      <c r="DK32" s="29">
        <f t="shared" si="20"/>
        <v>17000000</v>
      </c>
      <c r="DL32" s="29">
        <f t="shared" si="21"/>
        <v>17000000</v>
      </c>
    </row>
    <row r="33" spans="1:117" ht="47.25" customHeight="1" x14ac:dyDescent="0.25">
      <c r="A33" s="30"/>
      <c r="B33" s="232"/>
      <c r="C33" s="20" t="s">
        <v>117</v>
      </c>
      <c r="D33" s="21" t="s">
        <v>118</v>
      </c>
      <c r="E33" s="22">
        <v>410</v>
      </c>
      <c r="F33" s="23" t="s">
        <v>119</v>
      </c>
      <c r="G33" s="24">
        <f t="shared" si="34"/>
        <v>10000000</v>
      </c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>
        <f>5000000+5000000</f>
        <v>10000000</v>
      </c>
      <c r="AA33" s="25">
        <f t="shared" si="1"/>
        <v>0.40619810000000001</v>
      </c>
      <c r="AB33" s="24">
        <f t="shared" si="35"/>
        <v>4061981</v>
      </c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>
        <f>+'[1]SEPTIEMBRE 2016'!$AG$1406</f>
        <v>4061981</v>
      </c>
      <c r="AW33" s="25">
        <f t="shared" si="3"/>
        <v>0.59380189999999999</v>
      </c>
      <c r="AX33" s="24">
        <f t="shared" si="36"/>
        <v>5938019</v>
      </c>
      <c r="AY33" s="24">
        <f t="shared" si="46"/>
        <v>0</v>
      </c>
      <c r="AZ33" s="24">
        <f t="shared" si="37"/>
        <v>0</v>
      </c>
      <c r="BA33" s="24">
        <f t="shared" si="37"/>
        <v>0</v>
      </c>
      <c r="BB33" s="24">
        <f t="shared" si="47"/>
        <v>0</v>
      </c>
      <c r="BC33" s="24">
        <f t="shared" si="47"/>
        <v>0</v>
      </c>
      <c r="BD33" s="24">
        <f t="shared" si="47"/>
        <v>0</v>
      </c>
      <c r="BE33" s="24">
        <f t="shared" si="47"/>
        <v>0</v>
      </c>
      <c r="BF33" s="24">
        <f t="shared" si="47"/>
        <v>0</v>
      </c>
      <c r="BG33" s="24">
        <f t="shared" si="47"/>
        <v>0</v>
      </c>
      <c r="BH33" s="24">
        <f t="shared" si="47"/>
        <v>0</v>
      </c>
      <c r="BI33" s="24">
        <f t="shared" si="47"/>
        <v>0</v>
      </c>
      <c r="BJ33" s="24">
        <f t="shared" si="47"/>
        <v>0</v>
      </c>
      <c r="BK33" s="24"/>
      <c r="BL33" s="24">
        <f t="shared" si="47"/>
        <v>0</v>
      </c>
      <c r="BM33" s="24">
        <f t="shared" si="47"/>
        <v>0</v>
      </c>
      <c r="BN33" s="24"/>
      <c r="BO33" s="24"/>
      <c r="BP33" s="24"/>
      <c r="BQ33" s="24">
        <f t="shared" si="48"/>
        <v>5938019</v>
      </c>
      <c r="BR33" s="25">
        <f t="shared" si="10"/>
        <v>0.40619810000000001</v>
      </c>
      <c r="BS33" s="24">
        <f t="shared" si="39"/>
        <v>4061981</v>
      </c>
      <c r="BT33" s="24"/>
      <c r="BU33" s="24"/>
      <c r="BV33" s="24"/>
      <c r="BW33" s="24"/>
      <c r="BX33" s="24"/>
      <c r="BY33" s="24"/>
      <c r="BZ33" s="24"/>
      <c r="CA33" s="24"/>
      <c r="CB33" s="24"/>
      <c r="CC33" s="24"/>
      <c r="CD33" s="24"/>
      <c r="CE33" s="24"/>
      <c r="CF33" s="24"/>
      <c r="CG33" s="24"/>
      <c r="CH33" s="24"/>
      <c r="CI33" s="24"/>
      <c r="CJ33" s="24"/>
      <c r="CK33" s="24"/>
      <c r="CL33" s="24"/>
      <c r="CM33" s="24">
        <f>+'[1]SEPTIEMBRE 2016'!$AG$1406</f>
        <v>4061981</v>
      </c>
      <c r="CN33" s="25">
        <f t="shared" si="12"/>
        <v>0.59380189999999999</v>
      </c>
      <c r="CO33" s="24">
        <f t="shared" si="40"/>
        <v>5938019</v>
      </c>
      <c r="CP33" s="24">
        <f t="shared" si="49"/>
        <v>0</v>
      </c>
      <c r="CQ33" s="24">
        <f t="shared" si="41"/>
        <v>0</v>
      </c>
      <c r="CR33" s="24">
        <f t="shared" si="41"/>
        <v>0</v>
      </c>
      <c r="CS33" s="24">
        <f t="shared" si="41"/>
        <v>0</v>
      </c>
      <c r="CT33" s="24">
        <f t="shared" si="41"/>
        <v>0</v>
      </c>
      <c r="CU33" s="24">
        <f t="shared" si="41"/>
        <v>0</v>
      </c>
      <c r="CV33" s="24">
        <f t="shared" si="50"/>
        <v>0</v>
      </c>
      <c r="CW33" s="24">
        <f t="shared" si="50"/>
        <v>0</v>
      </c>
      <c r="CX33" s="24">
        <f t="shared" si="50"/>
        <v>0</v>
      </c>
      <c r="CY33" s="24">
        <f t="shared" si="51"/>
        <v>0</v>
      </c>
      <c r="CZ33" s="24">
        <f t="shared" si="51"/>
        <v>0</v>
      </c>
      <c r="DA33" s="24">
        <f t="shared" si="51"/>
        <v>0</v>
      </c>
      <c r="DB33" s="24">
        <f t="shared" si="51"/>
        <v>0</v>
      </c>
      <c r="DC33" s="24">
        <f t="shared" si="51"/>
        <v>0</v>
      </c>
      <c r="DD33" s="24">
        <f t="shared" si="51"/>
        <v>0</v>
      </c>
      <c r="DE33" s="24"/>
      <c r="DF33" s="24">
        <f t="shared" si="55"/>
        <v>0</v>
      </c>
      <c r="DG33" s="24">
        <f t="shared" si="55"/>
        <v>0</v>
      </c>
      <c r="DH33" s="24">
        <f t="shared" si="55"/>
        <v>5938019</v>
      </c>
      <c r="DJ33" s="29">
        <f t="shared" si="54"/>
        <v>10000000</v>
      </c>
      <c r="DK33" s="29">
        <f t="shared" si="20"/>
        <v>10000000</v>
      </c>
      <c r="DL33" s="29">
        <f t="shared" si="21"/>
        <v>10000000</v>
      </c>
    </row>
    <row r="34" spans="1:117" ht="45" x14ac:dyDescent="0.25">
      <c r="A34" s="30"/>
      <c r="B34" s="233"/>
      <c r="C34" s="20" t="s">
        <v>120</v>
      </c>
      <c r="D34" s="21" t="s">
        <v>121</v>
      </c>
      <c r="E34" s="22">
        <v>410</v>
      </c>
      <c r="F34" s="23" t="s">
        <v>122</v>
      </c>
      <c r="G34" s="24">
        <f t="shared" si="34"/>
        <v>161295383</v>
      </c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>
        <v>110000000</v>
      </c>
      <c r="V34" s="24"/>
      <c r="W34" s="24">
        <f>11169156+40126227</f>
        <v>51295383</v>
      </c>
      <c r="X34" s="24"/>
      <c r="Y34" s="24"/>
      <c r="Z34" s="24"/>
      <c r="AA34" s="25">
        <f t="shared" si="1"/>
        <v>1</v>
      </c>
      <c r="AB34" s="24">
        <f t="shared" si="35"/>
        <v>161295383</v>
      </c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>
        <f>+'[2]ENERO 2016'!$Y$308</f>
        <v>110000000</v>
      </c>
      <c r="AR34" s="24"/>
      <c r="AS34" s="24">
        <f>+'[4]AGOSTO 2016'!$AA$1161</f>
        <v>51295383</v>
      </c>
      <c r="AT34" s="24"/>
      <c r="AU34" s="24"/>
      <c r="AV34" s="24"/>
      <c r="AW34" s="25">
        <f t="shared" si="3"/>
        <v>0</v>
      </c>
      <c r="AX34" s="24">
        <f t="shared" si="36"/>
        <v>0</v>
      </c>
      <c r="AY34" s="24">
        <f t="shared" si="46"/>
        <v>0</v>
      </c>
      <c r="AZ34" s="24">
        <f t="shared" si="37"/>
        <v>0</v>
      </c>
      <c r="BA34" s="24">
        <f t="shared" si="37"/>
        <v>0</v>
      </c>
      <c r="BB34" s="24">
        <f t="shared" si="47"/>
        <v>0</v>
      </c>
      <c r="BC34" s="24">
        <f t="shared" si="47"/>
        <v>0</v>
      </c>
      <c r="BD34" s="24">
        <f t="shared" si="47"/>
        <v>0</v>
      </c>
      <c r="BE34" s="24">
        <f t="shared" si="47"/>
        <v>0</v>
      </c>
      <c r="BF34" s="24">
        <f t="shared" si="47"/>
        <v>0</v>
      </c>
      <c r="BG34" s="24">
        <f t="shared" si="47"/>
        <v>0</v>
      </c>
      <c r="BH34" s="24">
        <f t="shared" si="47"/>
        <v>0</v>
      </c>
      <c r="BI34" s="24">
        <f t="shared" si="47"/>
        <v>0</v>
      </c>
      <c r="BJ34" s="24">
        <f t="shared" si="47"/>
        <v>0</v>
      </c>
      <c r="BK34" s="24"/>
      <c r="BL34" s="24">
        <f t="shared" si="47"/>
        <v>0</v>
      </c>
      <c r="BM34" s="24">
        <f t="shared" si="47"/>
        <v>0</v>
      </c>
      <c r="BN34" s="24">
        <f>+W34-AS34</f>
        <v>0</v>
      </c>
      <c r="BO34" s="24"/>
      <c r="BP34" s="24"/>
      <c r="BQ34" s="24">
        <f t="shared" si="48"/>
        <v>0</v>
      </c>
      <c r="BR34" s="25">
        <f t="shared" si="10"/>
        <v>0.65722831632446665</v>
      </c>
      <c r="BS34" s="24">
        <f t="shared" si="39"/>
        <v>106007893</v>
      </c>
      <c r="BT34" s="24"/>
      <c r="BU34" s="24"/>
      <c r="BV34" s="24"/>
      <c r="BW34" s="24"/>
      <c r="BX34" s="24"/>
      <c r="BY34" s="24"/>
      <c r="BZ34" s="24"/>
      <c r="CA34" s="24"/>
      <c r="CB34" s="24"/>
      <c r="CC34" s="24"/>
      <c r="CD34" s="24"/>
      <c r="CE34" s="24"/>
      <c r="CF34" s="24"/>
      <c r="CG34" s="24"/>
      <c r="CH34" s="24">
        <f>+'[1]SEPTIEMBRE 2016'!$H$1416+'[1]SEPTIEMBRE 2016'!$H$1432+'[1]SEPTIEMBRE 2016'!$H$1446</f>
        <v>100140263</v>
      </c>
      <c r="CI34" s="24"/>
      <c r="CJ34" s="24">
        <f>+'[1]SEPTIEMBRE 2016'!$H$1449+'[1]SEPTIEMBRE 2016'!$H$1452</f>
        <v>5867630</v>
      </c>
      <c r="CK34" s="24"/>
      <c r="CL34" s="24"/>
      <c r="CM34" s="24"/>
      <c r="CN34" s="25">
        <f t="shared" si="12"/>
        <v>0.34277168367553335</v>
      </c>
      <c r="CO34" s="24">
        <f t="shared" si="40"/>
        <v>55287490</v>
      </c>
      <c r="CP34" s="24">
        <f t="shared" si="49"/>
        <v>0</v>
      </c>
      <c r="CQ34" s="24">
        <f t="shared" si="41"/>
        <v>0</v>
      </c>
      <c r="CR34" s="24">
        <f t="shared" si="41"/>
        <v>0</v>
      </c>
      <c r="CS34" s="24">
        <f t="shared" si="41"/>
        <v>0</v>
      </c>
      <c r="CT34" s="24">
        <f t="shared" si="41"/>
        <v>0</v>
      </c>
      <c r="CU34" s="24">
        <f t="shared" si="41"/>
        <v>0</v>
      </c>
      <c r="CV34" s="24">
        <f t="shared" si="50"/>
        <v>0</v>
      </c>
      <c r="CW34" s="24">
        <f t="shared" si="50"/>
        <v>0</v>
      </c>
      <c r="CX34" s="24">
        <f t="shared" si="50"/>
        <v>0</v>
      </c>
      <c r="CY34" s="24">
        <f t="shared" si="51"/>
        <v>0</v>
      </c>
      <c r="CZ34" s="24">
        <f t="shared" si="51"/>
        <v>0</v>
      </c>
      <c r="DA34" s="24">
        <f t="shared" si="51"/>
        <v>0</v>
      </c>
      <c r="DB34" s="24">
        <f t="shared" si="51"/>
        <v>0</v>
      </c>
      <c r="DC34" s="24">
        <f t="shared" si="51"/>
        <v>9859737</v>
      </c>
      <c r="DD34" s="24">
        <f t="shared" si="51"/>
        <v>0</v>
      </c>
      <c r="DE34" s="24">
        <f>W34-CJ34</f>
        <v>45427753</v>
      </c>
      <c r="DF34" s="24">
        <f t="shared" si="55"/>
        <v>0</v>
      </c>
      <c r="DG34" s="24">
        <f t="shared" si="55"/>
        <v>0</v>
      </c>
      <c r="DH34" s="24">
        <f t="shared" si="55"/>
        <v>0</v>
      </c>
      <c r="DJ34" s="51">
        <f t="shared" si="54"/>
        <v>161295383</v>
      </c>
      <c r="DK34" s="29">
        <f t="shared" si="20"/>
        <v>161295383</v>
      </c>
      <c r="DL34" s="29">
        <f t="shared" si="21"/>
        <v>161295383</v>
      </c>
      <c r="DM34" s="52"/>
    </row>
    <row r="35" spans="1:117" ht="30" x14ac:dyDescent="0.25">
      <c r="A35" s="238" t="s">
        <v>87</v>
      </c>
      <c r="B35" s="231" t="s">
        <v>123</v>
      </c>
      <c r="C35" s="20" t="s">
        <v>124</v>
      </c>
      <c r="D35" s="21" t="s">
        <v>125</v>
      </c>
      <c r="E35" s="31">
        <v>410</v>
      </c>
      <c r="F35" s="23" t="s">
        <v>91</v>
      </c>
      <c r="G35" s="24">
        <f t="shared" si="34"/>
        <v>55000000</v>
      </c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>
        <v>55000000</v>
      </c>
      <c r="V35" s="24"/>
      <c r="W35" s="24"/>
      <c r="X35" s="24"/>
      <c r="Y35" s="24"/>
      <c r="Z35" s="24"/>
      <c r="AA35" s="25">
        <f t="shared" si="1"/>
        <v>0.5604268545454546</v>
      </c>
      <c r="AB35" s="24">
        <f t="shared" si="35"/>
        <v>30823477</v>
      </c>
      <c r="AC35" s="24"/>
      <c r="AD35" s="24"/>
      <c r="AE35" s="24"/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>
        <f>+'[1]SEPTIEMBRE 2016'!$Y$1458</f>
        <v>30823477</v>
      </c>
      <c r="AR35" s="24"/>
      <c r="AS35" s="24"/>
      <c r="AT35" s="24"/>
      <c r="AU35" s="24"/>
      <c r="AV35" s="24"/>
      <c r="AW35" s="25">
        <f t="shared" si="3"/>
        <v>0.4395731454545454</v>
      </c>
      <c r="AX35" s="24">
        <f t="shared" si="36"/>
        <v>24176523</v>
      </c>
      <c r="AY35" s="24">
        <f t="shared" si="46"/>
        <v>0</v>
      </c>
      <c r="AZ35" s="24">
        <f t="shared" si="37"/>
        <v>0</v>
      </c>
      <c r="BA35" s="24">
        <f t="shared" si="37"/>
        <v>0</v>
      </c>
      <c r="BB35" s="24">
        <f t="shared" si="47"/>
        <v>0</v>
      </c>
      <c r="BC35" s="24">
        <f t="shared" si="47"/>
        <v>0</v>
      </c>
      <c r="BD35" s="24">
        <f t="shared" si="47"/>
        <v>0</v>
      </c>
      <c r="BE35" s="24">
        <f t="shared" si="47"/>
        <v>0</v>
      </c>
      <c r="BF35" s="24">
        <f t="shared" si="47"/>
        <v>0</v>
      </c>
      <c r="BG35" s="24">
        <f t="shared" si="47"/>
        <v>0</v>
      </c>
      <c r="BH35" s="24">
        <f t="shared" si="47"/>
        <v>0</v>
      </c>
      <c r="BI35" s="24">
        <f t="shared" si="47"/>
        <v>0</v>
      </c>
      <c r="BJ35" s="24">
        <f t="shared" si="47"/>
        <v>0</v>
      </c>
      <c r="BK35" s="24">
        <f>+T35-AP35</f>
        <v>0</v>
      </c>
      <c r="BL35" s="24">
        <f t="shared" si="47"/>
        <v>24176523</v>
      </c>
      <c r="BM35" s="24">
        <f t="shared" si="47"/>
        <v>0</v>
      </c>
      <c r="BN35" s="24"/>
      <c r="BO35" s="24"/>
      <c r="BP35" s="24"/>
      <c r="BQ35" s="24">
        <f t="shared" si="48"/>
        <v>0</v>
      </c>
      <c r="BR35" s="25">
        <f t="shared" si="10"/>
        <v>0.55918343636363632</v>
      </c>
      <c r="BS35" s="24">
        <f t="shared" si="39"/>
        <v>30755089</v>
      </c>
      <c r="BT35" s="24"/>
      <c r="BU35" s="24"/>
      <c r="BV35" s="24"/>
      <c r="BW35" s="24"/>
      <c r="BX35" s="24"/>
      <c r="BY35" s="24"/>
      <c r="BZ35" s="24"/>
      <c r="CA35" s="24"/>
      <c r="CB35" s="24"/>
      <c r="CC35" s="24"/>
      <c r="CD35" s="24"/>
      <c r="CE35" s="24"/>
      <c r="CF35" s="24"/>
      <c r="CG35" s="24"/>
      <c r="CH35" s="24">
        <f>+'[1]SEPTIEMBRE 2016'!$H$1456</f>
        <v>30755089</v>
      </c>
      <c r="CI35" s="24"/>
      <c r="CJ35" s="24"/>
      <c r="CK35" s="24"/>
      <c r="CL35" s="24"/>
      <c r="CM35" s="24"/>
      <c r="CN35" s="25">
        <f t="shared" si="12"/>
        <v>0.44081656363636368</v>
      </c>
      <c r="CO35" s="24">
        <f t="shared" si="40"/>
        <v>24244911</v>
      </c>
      <c r="CP35" s="24">
        <f t="shared" si="49"/>
        <v>0</v>
      </c>
      <c r="CQ35" s="24">
        <f t="shared" si="41"/>
        <v>0</v>
      </c>
      <c r="CR35" s="24">
        <f t="shared" si="41"/>
        <v>0</v>
      </c>
      <c r="CS35" s="24">
        <f t="shared" si="41"/>
        <v>0</v>
      </c>
      <c r="CT35" s="24">
        <f t="shared" si="41"/>
        <v>0</v>
      </c>
      <c r="CU35" s="24">
        <f t="shared" si="41"/>
        <v>0</v>
      </c>
      <c r="CV35" s="24">
        <f t="shared" si="50"/>
        <v>0</v>
      </c>
      <c r="CW35" s="24">
        <f t="shared" si="50"/>
        <v>0</v>
      </c>
      <c r="CX35" s="24">
        <f t="shared" si="50"/>
        <v>0</v>
      </c>
      <c r="CY35" s="24">
        <f t="shared" si="51"/>
        <v>0</v>
      </c>
      <c r="CZ35" s="24">
        <f t="shared" si="51"/>
        <v>0</v>
      </c>
      <c r="DA35" s="24">
        <f t="shared" si="51"/>
        <v>0</v>
      </c>
      <c r="DB35" s="24">
        <f t="shared" ref="DB35:DD37" si="56">+T35-CG35</f>
        <v>0</v>
      </c>
      <c r="DC35" s="24">
        <f t="shared" si="56"/>
        <v>24244911</v>
      </c>
      <c r="DD35" s="24">
        <f t="shared" si="56"/>
        <v>0</v>
      </c>
      <c r="DE35" s="24"/>
      <c r="DF35" s="24">
        <f>+X35-CK35</f>
        <v>0</v>
      </c>
      <c r="DG35" s="24">
        <f t="shared" si="55"/>
        <v>0</v>
      </c>
      <c r="DH35" s="24">
        <f>+Z35-CM35</f>
        <v>0</v>
      </c>
      <c r="DJ35" s="29">
        <f t="shared" si="54"/>
        <v>55000000</v>
      </c>
      <c r="DK35" s="29">
        <f t="shared" si="20"/>
        <v>55000000</v>
      </c>
      <c r="DL35" s="29">
        <f t="shared" si="21"/>
        <v>55000000</v>
      </c>
    </row>
    <row r="36" spans="1:117" ht="36.75" customHeight="1" x14ac:dyDescent="0.25">
      <c r="A36" s="238"/>
      <c r="B36" s="232"/>
      <c r="C36" s="20" t="s">
        <v>126</v>
      </c>
      <c r="D36" s="21" t="s">
        <v>127</v>
      </c>
      <c r="E36" s="22">
        <v>410</v>
      </c>
      <c r="F36" s="23" t="s">
        <v>128</v>
      </c>
      <c r="G36" s="24">
        <f t="shared" si="34"/>
        <v>53000000</v>
      </c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>
        <v>50000000</v>
      </c>
      <c r="V36" s="24"/>
      <c r="W36" s="24"/>
      <c r="X36" s="24"/>
      <c r="Y36" s="24"/>
      <c r="Z36" s="24">
        <v>3000000</v>
      </c>
      <c r="AA36" s="25">
        <f t="shared" si="1"/>
        <v>0.52459220754716984</v>
      </c>
      <c r="AB36" s="24">
        <f t="shared" si="35"/>
        <v>27803387</v>
      </c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>
        <f>+'[1]SEPTIEMBRE 2016'!$Y$1497</f>
        <v>26903387</v>
      </c>
      <c r="AR36" s="24"/>
      <c r="AS36" s="24"/>
      <c r="AT36" s="24"/>
      <c r="AU36" s="24"/>
      <c r="AV36" s="24">
        <f>+'[4]AGOSTO 2016'!$AG$1231</f>
        <v>900000</v>
      </c>
      <c r="AW36" s="25">
        <f t="shared" si="3"/>
        <v>0.47540779245283016</v>
      </c>
      <c r="AX36" s="24">
        <f t="shared" si="36"/>
        <v>25196613</v>
      </c>
      <c r="AY36" s="24">
        <f t="shared" si="46"/>
        <v>0</v>
      </c>
      <c r="AZ36" s="24">
        <f t="shared" si="37"/>
        <v>0</v>
      </c>
      <c r="BA36" s="24">
        <f t="shared" si="37"/>
        <v>0</v>
      </c>
      <c r="BB36" s="24">
        <f t="shared" si="47"/>
        <v>0</v>
      </c>
      <c r="BC36" s="24">
        <f t="shared" si="47"/>
        <v>0</v>
      </c>
      <c r="BD36" s="24">
        <f t="shared" si="47"/>
        <v>0</v>
      </c>
      <c r="BE36" s="24">
        <f t="shared" si="47"/>
        <v>0</v>
      </c>
      <c r="BF36" s="24">
        <f t="shared" si="47"/>
        <v>0</v>
      </c>
      <c r="BG36" s="24">
        <f t="shared" si="47"/>
        <v>0</v>
      </c>
      <c r="BH36" s="24">
        <f t="shared" si="47"/>
        <v>0</v>
      </c>
      <c r="BI36" s="24">
        <f t="shared" si="47"/>
        <v>0</v>
      </c>
      <c r="BJ36" s="24">
        <f t="shared" si="47"/>
        <v>0</v>
      </c>
      <c r="BK36" s="24">
        <f>+T36-AP36</f>
        <v>0</v>
      </c>
      <c r="BL36" s="24">
        <f t="shared" si="47"/>
        <v>23096613</v>
      </c>
      <c r="BM36" s="24">
        <f t="shared" si="47"/>
        <v>0</v>
      </c>
      <c r="BN36" s="24"/>
      <c r="BO36" s="24"/>
      <c r="BP36" s="24"/>
      <c r="BQ36" s="24">
        <f t="shared" si="48"/>
        <v>2100000</v>
      </c>
      <c r="BR36" s="25">
        <f t="shared" si="10"/>
        <v>0.46935713207547169</v>
      </c>
      <c r="BS36" s="24">
        <f t="shared" si="39"/>
        <v>24875928</v>
      </c>
      <c r="BT36" s="24"/>
      <c r="BU36" s="24"/>
      <c r="BV36" s="24"/>
      <c r="BW36" s="24"/>
      <c r="BX36" s="24"/>
      <c r="BY36" s="24"/>
      <c r="BZ36" s="24"/>
      <c r="CA36" s="24"/>
      <c r="CB36" s="24"/>
      <c r="CC36" s="24"/>
      <c r="CD36" s="24"/>
      <c r="CE36" s="24"/>
      <c r="CF36" s="24"/>
      <c r="CG36" s="24"/>
      <c r="CH36" s="24">
        <f>+'[1]SEPTIEMBRE 2016'!$H$1495-CM36</f>
        <v>23975928</v>
      </c>
      <c r="CI36" s="24"/>
      <c r="CJ36" s="24"/>
      <c r="CK36" s="24"/>
      <c r="CL36" s="24"/>
      <c r="CM36" s="24">
        <v>900000</v>
      </c>
      <c r="CN36" s="25">
        <f t="shared" si="12"/>
        <v>0.53064286792452831</v>
      </c>
      <c r="CO36" s="24">
        <f t="shared" si="40"/>
        <v>28124072</v>
      </c>
      <c r="CP36" s="24">
        <f t="shared" si="49"/>
        <v>0</v>
      </c>
      <c r="CQ36" s="24">
        <f t="shared" si="41"/>
        <v>0</v>
      </c>
      <c r="CR36" s="24">
        <f t="shared" si="41"/>
        <v>0</v>
      </c>
      <c r="CS36" s="24">
        <f t="shared" si="41"/>
        <v>0</v>
      </c>
      <c r="CT36" s="24">
        <f t="shared" si="41"/>
        <v>0</v>
      </c>
      <c r="CU36" s="24">
        <f t="shared" si="41"/>
        <v>0</v>
      </c>
      <c r="CV36" s="24">
        <f t="shared" si="50"/>
        <v>0</v>
      </c>
      <c r="CW36" s="24">
        <f t="shared" si="50"/>
        <v>0</v>
      </c>
      <c r="CX36" s="24">
        <f t="shared" si="50"/>
        <v>0</v>
      </c>
      <c r="CY36" s="24">
        <f t="shared" si="51"/>
        <v>0</v>
      </c>
      <c r="CZ36" s="24">
        <f t="shared" si="51"/>
        <v>0</v>
      </c>
      <c r="DA36" s="24">
        <f t="shared" si="51"/>
        <v>0</v>
      </c>
      <c r="DB36" s="24">
        <f t="shared" si="56"/>
        <v>0</v>
      </c>
      <c r="DC36" s="24">
        <f t="shared" si="56"/>
        <v>26024072</v>
      </c>
      <c r="DD36" s="24">
        <f t="shared" si="56"/>
        <v>0</v>
      </c>
      <c r="DE36" s="24"/>
      <c r="DF36" s="24">
        <f>+X36-CK36</f>
        <v>0</v>
      </c>
      <c r="DG36" s="24">
        <f t="shared" si="55"/>
        <v>0</v>
      </c>
      <c r="DH36" s="24">
        <f>+Z36-CM36</f>
        <v>2100000</v>
      </c>
      <c r="DJ36" s="29">
        <f t="shared" si="54"/>
        <v>53000000</v>
      </c>
      <c r="DK36" s="29">
        <f t="shared" si="20"/>
        <v>53000000</v>
      </c>
      <c r="DL36" s="29">
        <f t="shared" si="21"/>
        <v>53000000</v>
      </c>
    </row>
    <row r="37" spans="1:117" x14ac:dyDescent="0.25">
      <c r="A37" s="238"/>
      <c r="B37" s="232"/>
      <c r="C37" s="20" t="s">
        <v>129</v>
      </c>
      <c r="D37" s="21" t="s">
        <v>130</v>
      </c>
      <c r="E37" s="22">
        <v>410</v>
      </c>
      <c r="F37" s="23" t="s">
        <v>91</v>
      </c>
      <c r="G37" s="24">
        <f t="shared" si="34"/>
        <v>34794000</v>
      </c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>
        <f>40000000-5206000</f>
        <v>34794000</v>
      </c>
      <c r="V37" s="24"/>
      <c r="W37" s="24"/>
      <c r="X37" s="24"/>
      <c r="Y37" s="24"/>
      <c r="Z37" s="24"/>
      <c r="AA37" s="25">
        <f t="shared" si="1"/>
        <v>1</v>
      </c>
      <c r="AB37" s="24">
        <f t="shared" si="35"/>
        <v>34794000</v>
      </c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>
        <f>+'[4]AGOSTO 2016'!$Y$1264</f>
        <v>34794000</v>
      </c>
      <c r="AR37" s="24"/>
      <c r="AS37" s="24"/>
      <c r="AT37" s="24"/>
      <c r="AU37" s="24"/>
      <c r="AV37" s="24"/>
      <c r="AW37" s="25">
        <f t="shared" si="3"/>
        <v>0</v>
      </c>
      <c r="AX37" s="24">
        <f t="shared" si="36"/>
        <v>0</v>
      </c>
      <c r="AY37" s="24">
        <f t="shared" si="46"/>
        <v>0</v>
      </c>
      <c r="AZ37" s="24">
        <f t="shared" si="46"/>
        <v>0</v>
      </c>
      <c r="BA37" s="24">
        <f t="shared" si="46"/>
        <v>0</v>
      </c>
      <c r="BB37" s="24">
        <f t="shared" si="47"/>
        <v>0</v>
      </c>
      <c r="BC37" s="24">
        <f t="shared" si="47"/>
        <v>0</v>
      </c>
      <c r="BD37" s="24">
        <f t="shared" si="47"/>
        <v>0</v>
      </c>
      <c r="BE37" s="24">
        <f t="shared" si="47"/>
        <v>0</v>
      </c>
      <c r="BF37" s="24">
        <f t="shared" si="47"/>
        <v>0</v>
      </c>
      <c r="BG37" s="24">
        <f t="shared" si="47"/>
        <v>0</v>
      </c>
      <c r="BH37" s="24">
        <f t="shared" si="47"/>
        <v>0</v>
      </c>
      <c r="BI37" s="24">
        <f t="shared" si="47"/>
        <v>0</v>
      </c>
      <c r="BJ37" s="24">
        <f t="shared" si="47"/>
        <v>0</v>
      </c>
      <c r="BK37" s="24">
        <f>+T37-AP37</f>
        <v>0</v>
      </c>
      <c r="BL37" s="24">
        <f t="shared" si="47"/>
        <v>0</v>
      </c>
      <c r="BM37" s="24">
        <f t="shared" si="47"/>
        <v>0</v>
      </c>
      <c r="BN37" s="24"/>
      <c r="BO37" s="24"/>
      <c r="BP37" s="24"/>
      <c r="BQ37" s="24">
        <f t="shared" si="48"/>
        <v>0</v>
      </c>
      <c r="BR37" s="25">
        <f t="shared" si="10"/>
        <v>0.8322222222222222</v>
      </c>
      <c r="BS37" s="24">
        <f t="shared" si="39"/>
        <v>28956340</v>
      </c>
      <c r="BT37" s="24"/>
      <c r="BU37" s="24"/>
      <c r="BV37" s="24"/>
      <c r="BW37" s="24"/>
      <c r="BX37" s="24"/>
      <c r="BY37" s="24"/>
      <c r="BZ37" s="24"/>
      <c r="CA37" s="24"/>
      <c r="CB37" s="24"/>
      <c r="CC37" s="24"/>
      <c r="CD37" s="24"/>
      <c r="CE37" s="24"/>
      <c r="CF37" s="24"/>
      <c r="CG37" s="24"/>
      <c r="CH37" s="24">
        <f>+'[1]SEPTIEMBRE 2016'!$H$1539</f>
        <v>28956340</v>
      </c>
      <c r="CI37" s="24"/>
      <c r="CJ37" s="24"/>
      <c r="CK37" s="24"/>
      <c r="CL37" s="24"/>
      <c r="CM37" s="24"/>
      <c r="CN37" s="25">
        <f t="shared" si="12"/>
        <v>0.1677777777777778</v>
      </c>
      <c r="CO37" s="24">
        <f t="shared" si="40"/>
        <v>5837660</v>
      </c>
      <c r="CP37" s="24">
        <f t="shared" si="49"/>
        <v>0</v>
      </c>
      <c r="CQ37" s="24">
        <f t="shared" si="49"/>
        <v>0</v>
      </c>
      <c r="CR37" s="24">
        <f t="shared" si="49"/>
        <v>0</v>
      </c>
      <c r="CS37" s="24">
        <f t="shared" si="49"/>
        <v>0</v>
      </c>
      <c r="CT37" s="24">
        <f t="shared" si="49"/>
        <v>0</v>
      </c>
      <c r="CU37" s="24">
        <f t="shared" si="49"/>
        <v>0</v>
      </c>
      <c r="CV37" s="24">
        <f t="shared" si="50"/>
        <v>0</v>
      </c>
      <c r="CW37" s="24">
        <f t="shared" si="50"/>
        <v>0</v>
      </c>
      <c r="CX37" s="24">
        <f t="shared" si="50"/>
        <v>0</v>
      </c>
      <c r="CY37" s="24">
        <f t="shared" si="51"/>
        <v>0</v>
      </c>
      <c r="CZ37" s="24">
        <f t="shared" si="51"/>
        <v>0</v>
      </c>
      <c r="DA37" s="24">
        <f t="shared" si="51"/>
        <v>0</v>
      </c>
      <c r="DB37" s="24">
        <f t="shared" si="56"/>
        <v>0</v>
      </c>
      <c r="DC37" s="24">
        <f t="shared" si="56"/>
        <v>5837660</v>
      </c>
      <c r="DD37" s="24">
        <f t="shared" si="56"/>
        <v>0</v>
      </c>
      <c r="DE37" s="24"/>
      <c r="DF37" s="24">
        <f>+X37-CK37</f>
        <v>0</v>
      </c>
      <c r="DG37" s="24">
        <f t="shared" si="55"/>
        <v>0</v>
      </c>
      <c r="DH37" s="24">
        <f>+Z37-CM37</f>
        <v>0</v>
      </c>
      <c r="DJ37" s="29">
        <f t="shared" si="54"/>
        <v>34794000</v>
      </c>
      <c r="DK37" s="29">
        <f t="shared" si="20"/>
        <v>34794000</v>
      </c>
      <c r="DL37" s="29">
        <f t="shared" si="21"/>
        <v>34794000</v>
      </c>
    </row>
    <row r="38" spans="1:117" x14ac:dyDescent="0.25">
      <c r="A38" s="238"/>
      <c r="B38" s="233"/>
      <c r="C38" s="20" t="s">
        <v>131</v>
      </c>
      <c r="D38" s="21" t="s">
        <v>132</v>
      </c>
      <c r="E38" s="22">
        <v>410</v>
      </c>
      <c r="F38" s="23" t="s">
        <v>91</v>
      </c>
      <c r="G38" s="24">
        <f t="shared" si="34"/>
        <v>105000000</v>
      </c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>
        <v>105000000</v>
      </c>
      <c r="V38" s="24"/>
      <c r="W38" s="24"/>
      <c r="X38" s="24"/>
      <c r="Y38" s="24"/>
      <c r="Z38" s="24"/>
      <c r="AA38" s="25">
        <f t="shared" si="1"/>
        <v>1</v>
      </c>
      <c r="AB38" s="24">
        <f t="shared" si="35"/>
        <v>105000000</v>
      </c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>
        <f>+'[6]JUNIO 2016'!$Y$953</f>
        <v>105000000</v>
      </c>
      <c r="AR38" s="24"/>
      <c r="AS38" s="24"/>
      <c r="AT38" s="24"/>
      <c r="AU38" s="24"/>
      <c r="AV38" s="24"/>
      <c r="AW38" s="25">
        <f t="shared" si="3"/>
        <v>0</v>
      </c>
      <c r="AX38" s="24">
        <f t="shared" si="36"/>
        <v>0</v>
      </c>
      <c r="AY38" s="24">
        <f t="shared" si="46"/>
        <v>0</v>
      </c>
      <c r="AZ38" s="24">
        <f t="shared" si="46"/>
        <v>0</v>
      </c>
      <c r="BA38" s="24">
        <f t="shared" si="46"/>
        <v>0</v>
      </c>
      <c r="BB38" s="24">
        <f t="shared" si="46"/>
        <v>0</v>
      </c>
      <c r="BC38" s="24">
        <f t="shared" si="46"/>
        <v>0</v>
      </c>
      <c r="BD38" s="24">
        <f t="shared" si="46"/>
        <v>0</v>
      </c>
      <c r="BE38" s="24">
        <f t="shared" si="46"/>
        <v>0</v>
      </c>
      <c r="BF38" s="24">
        <f t="shared" si="46"/>
        <v>0</v>
      </c>
      <c r="BG38" s="24">
        <f t="shared" si="46"/>
        <v>0</v>
      </c>
      <c r="BH38" s="24">
        <f t="shared" si="46"/>
        <v>0</v>
      </c>
      <c r="BI38" s="24">
        <f t="shared" si="46"/>
        <v>0</v>
      </c>
      <c r="BJ38" s="24">
        <f t="shared" si="46"/>
        <v>0</v>
      </c>
      <c r="BK38" s="24">
        <f t="shared" si="46"/>
        <v>0</v>
      </c>
      <c r="BL38" s="24">
        <f t="shared" si="46"/>
        <v>0</v>
      </c>
      <c r="BM38" s="24">
        <f t="shared" si="46"/>
        <v>0</v>
      </c>
      <c r="BN38" s="24"/>
      <c r="BO38" s="24">
        <f>X38-AT38</f>
        <v>0</v>
      </c>
      <c r="BP38" s="24">
        <f>Y38-AU38</f>
        <v>0</v>
      </c>
      <c r="BQ38" s="24">
        <f>Z38-AV38</f>
        <v>0</v>
      </c>
      <c r="BR38" s="25">
        <f t="shared" si="10"/>
        <v>1</v>
      </c>
      <c r="BS38" s="24">
        <f t="shared" si="39"/>
        <v>105000000</v>
      </c>
      <c r="BT38" s="24"/>
      <c r="BU38" s="24"/>
      <c r="BV38" s="24"/>
      <c r="BW38" s="24"/>
      <c r="BX38" s="24"/>
      <c r="BY38" s="24"/>
      <c r="BZ38" s="24"/>
      <c r="CA38" s="24"/>
      <c r="CB38" s="24"/>
      <c r="CC38" s="24"/>
      <c r="CD38" s="24"/>
      <c r="CE38" s="24"/>
      <c r="CF38" s="24"/>
      <c r="CG38" s="24"/>
      <c r="CH38" s="24">
        <f>+'[6]JUNIO 2016'!$H$951</f>
        <v>105000000</v>
      </c>
      <c r="CI38" s="24"/>
      <c r="CJ38" s="24"/>
      <c r="CK38" s="24"/>
      <c r="CL38" s="24"/>
      <c r="CM38" s="24"/>
      <c r="CN38" s="25">
        <f t="shared" si="12"/>
        <v>0</v>
      </c>
      <c r="CO38" s="24">
        <f t="shared" si="40"/>
        <v>0</v>
      </c>
      <c r="CP38" s="24">
        <f t="shared" si="49"/>
        <v>0</v>
      </c>
      <c r="CQ38" s="24">
        <f t="shared" si="49"/>
        <v>0</v>
      </c>
      <c r="CR38" s="24">
        <f t="shared" si="49"/>
        <v>0</v>
      </c>
      <c r="CS38" s="24">
        <f t="shared" si="49"/>
        <v>0</v>
      </c>
      <c r="CT38" s="24">
        <f t="shared" si="49"/>
        <v>0</v>
      </c>
      <c r="CU38" s="24">
        <f t="shared" si="49"/>
        <v>0</v>
      </c>
      <c r="CV38" s="24">
        <f>N38-CA38</f>
        <v>0</v>
      </c>
      <c r="CW38" s="24">
        <f>O38-CB38</f>
        <v>0</v>
      </c>
      <c r="CX38" s="24">
        <f>P38-CC38</f>
        <v>0</v>
      </c>
      <c r="CY38" s="24">
        <f t="shared" si="51"/>
        <v>0</v>
      </c>
      <c r="CZ38" s="24">
        <f t="shared" si="51"/>
        <v>0</v>
      </c>
      <c r="DA38" s="24">
        <f t="shared" si="51"/>
        <v>0</v>
      </c>
      <c r="DB38" s="24">
        <f>T38-CG38</f>
        <v>0</v>
      </c>
      <c r="DC38" s="24">
        <f>U38-CH38</f>
        <v>0</v>
      </c>
      <c r="DD38" s="24">
        <f>V38-CI38</f>
        <v>0</v>
      </c>
      <c r="DE38" s="24"/>
      <c r="DF38" s="24">
        <f>X38-CK38</f>
        <v>0</v>
      </c>
      <c r="DG38" s="24">
        <f t="shared" si="55"/>
        <v>0</v>
      </c>
      <c r="DH38" s="24">
        <f>Z38-CM38</f>
        <v>0</v>
      </c>
      <c r="DJ38" s="29">
        <f t="shared" si="54"/>
        <v>105000000</v>
      </c>
      <c r="DK38" s="29">
        <f t="shared" si="20"/>
        <v>105000000</v>
      </c>
      <c r="DL38" s="29">
        <f t="shared" si="21"/>
        <v>105000000</v>
      </c>
    </row>
    <row r="39" spans="1:117" ht="33.75" customHeight="1" x14ac:dyDescent="0.25">
      <c r="A39" s="238"/>
      <c r="B39" s="231" t="s">
        <v>133</v>
      </c>
      <c r="C39" s="20" t="s">
        <v>134</v>
      </c>
      <c r="D39" s="21" t="s">
        <v>135</v>
      </c>
      <c r="E39" s="22">
        <v>410</v>
      </c>
      <c r="F39" s="23" t="s">
        <v>91</v>
      </c>
      <c r="G39" s="24">
        <f t="shared" si="34"/>
        <v>280000000</v>
      </c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>
        <v>280000000</v>
      </c>
      <c r="T39" s="24"/>
      <c r="U39" s="24"/>
      <c r="V39" s="24"/>
      <c r="W39" s="24"/>
      <c r="X39" s="24"/>
      <c r="Y39" s="24"/>
      <c r="Z39" s="24"/>
      <c r="AA39" s="25">
        <f t="shared" si="1"/>
        <v>0.75731989642857145</v>
      </c>
      <c r="AB39" s="24">
        <f t="shared" si="35"/>
        <v>212049571</v>
      </c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>
        <f>+'[1]SEPTIEMBRE 2016'!$W$1577</f>
        <v>212049571</v>
      </c>
      <c r="AP39" s="24"/>
      <c r="AQ39" s="24"/>
      <c r="AR39" s="24"/>
      <c r="AS39" s="24"/>
      <c r="AT39" s="24"/>
      <c r="AU39" s="24"/>
      <c r="AV39" s="24"/>
      <c r="AW39" s="25">
        <f t="shared" si="3"/>
        <v>0.24268010357142855</v>
      </c>
      <c r="AX39" s="24">
        <f t="shared" si="36"/>
        <v>67950429</v>
      </c>
      <c r="AY39" s="24">
        <f t="shared" si="46"/>
        <v>0</v>
      </c>
      <c r="AZ39" s="24">
        <f t="shared" si="46"/>
        <v>0</v>
      </c>
      <c r="BA39" s="24">
        <f t="shared" si="46"/>
        <v>0</v>
      </c>
      <c r="BB39" s="24">
        <f t="shared" ref="BB39:BM54" si="57">+K39-AG39</f>
        <v>0</v>
      </c>
      <c r="BC39" s="24">
        <f t="shared" si="57"/>
        <v>0</v>
      </c>
      <c r="BD39" s="24">
        <f t="shared" si="57"/>
        <v>0</v>
      </c>
      <c r="BE39" s="24">
        <f t="shared" si="57"/>
        <v>0</v>
      </c>
      <c r="BF39" s="24">
        <f t="shared" si="57"/>
        <v>0</v>
      </c>
      <c r="BG39" s="24">
        <f t="shared" si="57"/>
        <v>0</v>
      </c>
      <c r="BH39" s="24">
        <f t="shared" si="57"/>
        <v>0</v>
      </c>
      <c r="BI39" s="24">
        <f t="shared" si="57"/>
        <v>0</v>
      </c>
      <c r="BJ39" s="24">
        <f t="shared" si="57"/>
        <v>67950429</v>
      </c>
      <c r="BK39" s="24">
        <f t="shared" si="57"/>
        <v>0</v>
      </c>
      <c r="BL39" s="24">
        <f t="shared" si="57"/>
        <v>0</v>
      </c>
      <c r="BM39" s="24">
        <f t="shared" si="57"/>
        <v>0</v>
      </c>
      <c r="BN39" s="24"/>
      <c r="BO39" s="24"/>
      <c r="BP39" s="24">
        <f t="shared" ref="BP39:BP59" si="58">Y39-AU39</f>
        <v>0</v>
      </c>
      <c r="BQ39" s="24">
        <f t="shared" ref="BQ39:BQ59" si="59">+Z39-AV39</f>
        <v>0</v>
      </c>
      <c r="BR39" s="25">
        <f t="shared" si="10"/>
        <v>0.70542703928571426</v>
      </c>
      <c r="BS39" s="24">
        <f t="shared" si="39"/>
        <v>197519571</v>
      </c>
      <c r="BT39" s="24"/>
      <c r="BU39" s="24"/>
      <c r="BV39" s="24"/>
      <c r="BW39" s="24"/>
      <c r="BX39" s="24"/>
      <c r="BY39" s="24"/>
      <c r="BZ39" s="24"/>
      <c r="CA39" s="24"/>
      <c r="CB39" s="24"/>
      <c r="CC39" s="24"/>
      <c r="CD39" s="24"/>
      <c r="CE39" s="24"/>
      <c r="CF39" s="24">
        <f>+'[1]SEPTIEMBRE 2016'!$H$1575</f>
        <v>197519571</v>
      </c>
      <c r="CG39" s="24"/>
      <c r="CH39" s="24"/>
      <c r="CI39" s="24"/>
      <c r="CJ39" s="24"/>
      <c r="CK39" s="24"/>
      <c r="CL39" s="24"/>
      <c r="CM39" s="24"/>
      <c r="CN39" s="25">
        <f t="shared" si="12"/>
        <v>0.29457296071428574</v>
      </c>
      <c r="CO39" s="24">
        <f t="shared" si="40"/>
        <v>82480429</v>
      </c>
      <c r="CP39" s="24">
        <f t="shared" si="49"/>
        <v>0</v>
      </c>
      <c r="CQ39" s="24">
        <f t="shared" si="49"/>
        <v>0</v>
      </c>
      <c r="CR39" s="24">
        <f t="shared" si="49"/>
        <v>0</v>
      </c>
      <c r="CS39" s="24">
        <f t="shared" si="49"/>
        <v>0</v>
      </c>
      <c r="CT39" s="24">
        <f t="shared" si="49"/>
        <v>0</v>
      </c>
      <c r="CU39" s="24">
        <f t="shared" si="49"/>
        <v>0</v>
      </c>
      <c r="CV39" s="24">
        <f t="shared" ref="CV39:DA50" si="60">+N39-CA39</f>
        <v>0</v>
      </c>
      <c r="CW39" s="24">
        <f t="shared" si="60"/>
        <v>0</v>
      </c>
      <c r="CX39" s="24">
        <f t="shared" si="60"/>
        <v>0</v>
      </c>
      <c r="CY39" s="24">
        <f t="shared" si="51"/>
        <v>0</v>
      </c>
      <c r="CZ39" s="24">
        <f t="shared" si="51"/>
        <v>0</v>
      </c>
      <c r="DA39" s="24">
        <f t="shared" si="51"/>
        <v>82480429</v>
      </c>
      <c r="DB39" s="24">
        <f t="shared" ref="DB39:DD50" si="61">+T39-CG39</f>
        <v>0</v>
      </c>
      <c r="DC39" s="24">
        <f t="shared" si="61"/>
        <v>0</v>
      </c>
      <c r="DD39" s="24">
        <f t="shared" si="61"/>
        <v>0</v>
      </c>
      <c r="DE39" s="24"/>
      <c r="DF39" s="24">
        <f t="shared" ref="DF39:DF50" si="62">+X39-CK39</f>
        <v>0</v>
      </c>
      <c r="DG39" s="24">
        <f t="shared" si="55"/>
        <v>0</v>
      </c>
      <c r="DH39" s="24">
        <f t="shared" ref="DH39:DH50" si="63">+Z39-CM39</f>
        <v>0</v>
      </c>
      <c r="DJ39" s="29">
        <f t="shared" si="54"/>
        <v>280000000</v>
      </c>
      <c r="DK39" s="29">
        <f t="shared" si="20"/>
        <v>280000000</v>
      </c>
      <c r="DL39" s="29">
        <f t="shared" si="21"/>
        <v>280000000</v>
      </c>
    </row>
    <row r="40" spans="1:117" ht="42" customHeight="1" x14ac:dyDescent="0.25">
      <c r="A40" s="238"/>
      <c r="B40" s="232"/>
      <c r="C40" s="20" t="s">
        <v>136</v>
      </c>
      <c r="D40" s="53" t="s">
        <v>137</v>
      </c>
      <c r="E40" s="22">
        <v>410</v>
      </c>
      <c r="F40" s="23" t="s">
        <v>138</v>
      </c>
      <c r="G40" s="24">
        <f t="shared" si="34"/>
        <v>178627198</v>
      </c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>
        <v>7696735</v>
      </c>
      <c r="T40" s="24"/>
      <c r="U40" s="24">
        <v>147930463</v>
      </c>
      <c r="V40" s="24"/>
      <c r="W40" s="24"/>
      <c r="X40" s="24"/>
      <c r="Y40" s="54"/>
      <c r="Z40" s="54">
        <f>35000000+3000000-15000000</f>
        <v>23000000</v>
      </c>
      <c r="AA40" s="25">
        <f t="shared" si="1"/>
        <v>0.66904550000274876</v>
      </c>
      <c r="AB40" s="24">
        <f t="shared" si="35"/>
        <v>119509723</v>
      </c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4">
        <f>+'[6]JUNIO 2016'!$W$1028</f>
        <v>7654735</v>
      </c>
      <c r="AP40" s="24"/>
      <c r="AQ40" s="24">
        <f>+'[1]SEPTIEMBRE 2016'!$Y$1673</f>
        <v>89537065</v>
      </c>
      <c r="AR40" s="24"/>
      <c r="AS40" s="24"/>
      <c r="AT40" s="24"/>
      <c r="AU40" s="24"/>
      <c r="AV40" s="24">
        <f>+'[1]SEPTIEMBRE 2016'!$AG$1673</f>
        <v>22317923</v>
      </c>
      <c r="AW40" s="25">
        <f t="shared" si="3"/>
        <v>0.33095449999725124</v>
      </c>
      <c r="AX40" s="24">
        <f t="shared" si="36"/>
        <v>59117475</v>
      </c>
      <c r="AY40" s="24">
        <f t="shared" si="46"/>
        <v>0</v>
      </c>
      <c r="AZ40" s="24">
        <f t="shared" si="46"/>
        <v>0</v>
      </c>
      <c r="BA40" s="24">
        <f t="shared" si="46"/>
        <v>0</v>
      </c>
      <c r="BB40" s="24">
        <f t="shared" si="57"/>
        <v>0</v>
      </c>
      <c r="BC40" s="24">
        <f t="shared" si="57"/>
        <v>0</v>
      </c>
      <c r="BD40" s="24">
        <f t="shared" si="57"/>
        <v>0</v>
      </c>
      <c r="BE40" s="24">
        <f t="shared" si="57"/>
        <v>0</v>
      </c>
      <c r="BF40" s="24">
        <f t="shared" si="57"/>
        <v>0</v>
      </c>
      <c r="BG40" s="24">
        <f t="shared" si="57"/>
        <v>0</v>
      </c>
      <c r="BH40" s="24">
        <f t="shared" si="57"/>
        <v>0</v>
      </c>
      <c r="BI40" s="24">
        <f t="shared" si="57"/>
        <v>0</v>
      </c>
      <c r="BJ40" s="24">
        <f t="shared" si="57"/>
        <v>42000</v>
      </c>
      <c r="BK40" s="24">
        <f t="shared" si="57"/>
        <v>0</v>
      </c>
      <c r="BL40" s="24">
        <f t="shared" si="57"/>
        <v>58393398</v>
      </c>
      <c r="BM40" s="24">
        <f t="shared" si="57"/>
        <v>0</v>
      </c>
      <c r="BN40" s="24"/>
      <c r="BO40" s="24"/>
      <c r="BP40" s="24">
        <f t="shared" si="58"/>
        <v>0</v>
      </c>
      <c r="BQ40" s="24">
        <f t="shared" si="59"/>
        <v>682077</v>
      </c>
      <c r="BR40" s="25">
        <f t="shared" si="10"/>
        <v>0.62705800266765643</v>
      </c>
      <c r="BS40" s="24">
        <f t="shared" si="39"/>
        <v>112009614</v>
      </c>
      <c r="BT40" s="24"/>
      <c r="BU40" s="24"/>
      <c r="BV40" s="24"/>
      <c r="BW40" s="24"/>
      <c r="BX40" s="24"/>
      <c r="BY40" s="24"/>
      <c r="BZ40" s="24"/>
      <c r="CA40" s="24"/>
      <c r="CB40" s="24"/>
      <c r="CC40" s="24"/>
      <c r="CD40" s="24"/>
      <c r="CE40" s="24"/>
      <c r="CF40" s="24">
        <f>+'[7]MAYO 2016'!$H$901+'[7]MAYO 2016'!$H$904+'[7]MAYO 2016'!$H$906+'[7]MAYO 2016'!$W$908</f>
        <v>7654735</v>
      </c>
      <c r="CG40" s="24"/>
      <c r="CH40" s="24">
        <f>'[1]SEPTIEMBRE 2016'!$H$1671-CM40-CF40</f>
        <v>82036976</v>
      </c>
      <c r="CI40" s="24"/>
      <c r="CJ40" s="24"/>
      <c r="CK40" s="24"/>
      <c r="CL40" s="24"/>
      <c r="CM40" s="24">
        <f>+'[1]SEPTIEMBRE 2016'!$H$1676+'[1]SEPTIEMBRE 2016'!$H$1689+'[1]SEPTIEMBRE 2016'!$H$1691+'[1]SEPTIEMBRE 2016'!$H$1692+'[1]SEPTIEMBRE 2016'!$H$1694+'[1]SEPTIEMBRE 2016'!$H$1703+'[1]SEPTIEMBRE 2016'!$H$1712+'[1]SEPTIEMBRE 2016'!$H$1715+'[1]SEPTIEMBRE 2016'!$H$1720+'[1]SEPTIEMBRE 2016'!$H$1721+'[1]SEPTIEMBRE 2016'!$H$1723+'[1]SEPTIEMBRE 2016'!$H$1726+'[1]SEPTIEMBRE 2016'!$H$1737+'[1]SEPTIEMBRE 2016'!$H$1738+'[1]SEPTIEMBRE 2016'!$H$1739+'[1]SEPTIEMBRE 2016'!$H$1740</f>
        <v>22317903</v>
      </c>
      <c r="CN40" s="25">
        <f t="shared" si="12"/>
        <v>0.37294199733234357</v>
      </c>
      <c r="CO40" s="24">
        <f t="shared" si="40"/>
        <v>66617584</v>
      </c>
      <c r="CP40" s="24">
        <f t="shared" si="49"/>
        <v>0</v>
      </c>
      <c r="CQ40" s="24">
        <f t="shared" si="49"/>
        <v>0</v>
      </c>
      <c r="CR40" s="24">
        <f t="shared" si="49"/>
        <v>0</v>
      </c>
      <c r="CS40" s="24">
        <f t="shared" si="49"/>
        <v>0</v>
      </c>
      <c r="CT40" s="24">
        <f t="shared" si="49"/>
        <v>0</v>
      </c>
      <c r="CU40" s="24">
        <f t="shared" si="49"/>
        <v>0</v>
      </c>
      <c r="CV40" s="24">
        <f t="shared" si="60"/>
        <v>0</v>
      </c>
      <c r="CW40" s="24">
        <f t="shared" si="60"/>
        <v>0</v>
      </c>
      <c r="CX40" s="24">
        <f t="shared" si="60"/>
        <v>0</v>
      </c>
      <c r="CY40" s="24">
        <f t="shared" si="51"/>
        <v>0</v>
      </c>
      <c r="CZ40" s="24">
        <f t="shared" si="51"/>
        <v>0</v>
      </c>
      <c r="DA40" s="24">
        <f t="shared" si="51"/>
        <v>42000</v>
      </c>
      <c r="DB40" s="24">
        <f t="shared" si="61"/>
        <v>0</v>
      </c>
      <c r="DC40" s="24">
        <f t="shared" si="61"/>
        <v>65893487</v>
      </c>
      <c r="DD40" s="24">
        <f t="shared" si="61"/>
        <v>0</v>
      </c>
      <c r="DE40" s="24"/>
      <c r="DF40" s="24">
        <f t="shared" si="62"/>
        <v>0</v>
      </c>
      <c r="DG40" s="24">
        <f t="shared" si="55"/>
        <v>0</v>
      </c>
      <c r="DH40" s="24">
        <f t="shared" si="63"/>
        <v>682097</v>
      </c>
      <c r="DJ40" s="29">
        <f t="shared" si="54"/>
        <v>178627198</v>
      </c>
      <c r="DK40" s="29">
        <f t="shared" si="20"/>
        <v>178627198</v>
      </c>
      <c r="DL40" s="29">
        <f t="shared" si="21"/>
        <v>178627198</v>
      </c>
    </row>
    <row r="41" spans="1:117" ht="50.25" customHeight="1" x14ac:dyDescent="0.25">
      <c r="A41" s="238"/>
      <c r="B41" s="232"/>
      <c r="C41" s="20" t="s">
        <v>139</v>
      </c>
      <c r="D41" s="21" t="s">
        <v>140</v>
      </c>
      <c r="E41" s="22">
        <v>410</v>
      </c>
      <c r="F41" s="23" t="s">
        <v>91</v>
      </c>
      <c r="G41" s="24">
        <f t="shared" si="34"/>
        <v>200000000</v>
      </c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>
        <v>100000000</v>
      </c>
      <c r="T41" s="24"/>
      <c r="U41" s="24"/>
      <c r="V41" s="24"/>
      <c r="W41" s="24"/>
      <c r="X41" s="24"/>
      <c r="Y41" s="54">
        <f>62258164+37741836</f>
        <v>100000000</v>
      </c>
      <c r="Z41" s="54"/>
      <c r="AA41" s="25">
        <f t="shared" si="1"/>
        <v>0.54790000000000005</v>
      </c>
      <c r="AB41" s="24">
        <f t="shared" si="35"/>
        <v>109580000</v>
      </c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>
        <f>+'[2]ENERO 2016'!$W$352</f>
        <v>100000000</v>
      </c>
      <c r="AP41" s="24"/>
      <c r="AQ41" s="24"/>
      <c r="AR41" s="24"/>
      <c r="AS41" s="24"/>
      <c r="AT41" s="24"/>
      <c r="AU41" s="24">
        <f>+'[6]JUNIO 2016'!$AF$1063</f>
        <v>9580000</v>
      </c>
      <c r="AV41" s="24"/>
      <c r="AW41" s="25">
        <f t="shared" si="3"/>
        <v>0.45209999999999995</v>
      </c>
      <c r="AX41" s="24">
        <f t="shared" si="36"/>
        <v>90420000</v>
      </c>
      <c r="AY41" s="24">
        <f t="shared" si="46"/>
        <v>0</v>
      </c>
      <c r="AZ41" s="24">
        <f t="shared" si="46"/>
        <v>0</v>
      </c>
      <c r="BA41" s="24">
        <f t="shared" si="46"/>
        <v>0</v>
      </c>
      <c r="BB41" s="24">
        <f t="shared" si="57"/>
        <v>0</v>
      </c>
      <c r="BC41" s="24">
        <f t="shared" si="57"/>
        <v>0</v>
      </c>
      <c r="BD41" s="24">
        <f t="shared" si="57"/>
        <v>0</v>
      </c>
      <c r="BE41" s="24">
        <f t="shared" si="57"/>
        <v>0</v>
      </c>
      <c r="BF41" s="24">
        <f t="shared" si="57"/>
        <v>0</v>
      </c>
      <c r="BG41" s="24">
        <f t="shared" si="57"/>
        <v>0</v>
      </c>
      <c r="BH41" s="24">
        <f t="shared" si="57"/>
        <v>0</v>
      </c>
      <c r="BI41" s="24">
        <f t="shared" si="57"/>
        <v>0</v>
      </c>
      <c r="BJ41" s="24">
        <f t="shared" si="57"/>
        <v>0</v>
      </c>
      <c r="BK41" s="24">
        <f t="shared" si="57"/>
        <v>0</v>
      </c>
      <c r="BL41" s="24">
        <f t="shared" si="57"/>
        <v>0</v>
      </c>
      <c r="BM41" s="24">
        <f t="shared" si="57"/>
        <v>0</v>
      </c>
      <c r="BN41" s="24"/>
      <c r="BO41" s="24"/>
      <c r="BP41" s="24">
        <f t="shared" si="58"/>
        <v>90420000</v>
      </c>
      <c r="BQ41" s="24">
        <f t="shared" si="59"/>
        <v>0</v>
      </c>
      <c r="BR41" s="25">
        <f t="shared" si="10"/>
        <v>0.54790000000000005</v>
      </c>
      <c r="BS41" s="24">
        <f t="shared" si="39"/>
        <v>109580000</v>
      </c>
      <c r="BT41" s="24"/>
      <c r="BU41" s="24"/>
      <c r="BV41" s="24"/>
      <c r="BW41" s="24"/>
      <c r="BX41" s="24"/>
      <c r="BY41" s="24"/>
      <c r="BZ41" s="24"/>
      <c r="CA41" s="24"/>
      <c r="CB41" s="24"/>
      <c r="CC41" s="24"/>
      <c r="CD41" s="24"/>
      <c r="CE41" s="24"/>
      <c r="CF41" s="24">
        <f>+'[9]MARZO 2016 ULTIMO'!$H$622</f>
        <v>100000000</v>
      </c>
      <c r="CG41" s="24"/>
      <c r="CH41" s="24"/>
      <c r="CI41" s="24"/>
      <c r="CJ41" s="24"/>
      <c r="CK41" s="24"/>
      <c r="CL41" s="24">
        <f>+'[6]JUNIO 2016'!$AF$1063</f>
        <v>9580000</v>
      </c>
      <c r="CM41" s="24"/>
      <c r="CN41" s="25">
        <f t="shared" si="12"/>
        <v>0.45209999999999995</v>
      </c>
      <c r="CO41" s="24">
        <f t="shared" si="40"/>
        <v>90420000</v>
      </c>
      <c r="CP41" s="24">
        <f t="shared" si="49"/>
        <v>0</v>
      </c>
      <c r="CQ41" s="24">
        <f t="shared" si="49"/>
        <v>0</v>
      </c>
      <c r="CR41" s="24">
        <f t="shared" si="49"/>
        <v>0</v>
      </c>
      <c r="CS41" s="24">
        <f t="shared" si="49"/>
        <v>0</v>
      </c>
      <c r="CT41" s="24">
        <f t="shared" si="49"/>
        <v>0</v>
      </c>
      <c r="CU41" s="24">
        <f t="shared" si="49"/>
        <v>0</v>
      </c>
      <c r="CV41" s="24">
        <f t="shared" si="60"/>
        <v>0</v>
      </c>
      <c r="CW41" s="24">
        <f t="shared" si="60"/>
        <v>0</v>
      </c>
      <c r="CX41" s="24">
        <f t="shared" si="60"/>
        <v>0</v>
      </c>
      <c r="CY41" s="24">
        <f t="shared" si="51"/>
        <v>0</v>
      </c>
      <c r="CZ41" s="24">
        <f t="shared" si="51"/>
        <v>0</v>
      </c>
      <c r="DA41" s="24">
        <f t="shared" si="51"/>
        <v>0</v>
      </c>
      <c r="DB41" s="24">
        <f t="shared" si="61"/>
        <v>0</v>
      </c>
      <c r="DC41" s="24">
        <f t="shared" si="61"/>
        <v>0</v>
      </c>
      <c r="DD41" s="24">
        <f t="shared" si="61"/>
        <v>0</v>
      </c>
      <c r="DE41" s="24"/>
      <c r="DF41" s="24">
        <f t="shared" si="62"/>
        <v>0</v>
      </c>
      <c r="DG41" s="24">
        <f t="shared" si="55"/>
        <v>90420000</v>
      </c>
      <c r="DH41" s="24">
        <f t="shared" si="63"/>
        <v>0</v>
      </c>
      <c r="DJ41" s="29">
        <f t="shared" si="54"/>
        <v>200000000</v>
      </c>
      <c r="DK41" s="29">
        <f t="shared" si="20"/>
        <v>200000000</v>
      </c>
      <c r="DL41" s="29">
        <f t="shared" si="21"/>
        <v>200000000</v>
      </c>
    </row>
    <row r="42" spans="1:117" ht="33.75" customHeight="1" x14ac:dyDescent="0.25">
      <c r="A42" s="238"/>
      <c r="B42" s="233"/>
      <c r="C42" s="20" t="s">
        <v>141</v>
      </c>
      <c r="D42" s="21" t="s">
        <v>142</v>
      </c>
      <c r="E42" s="22">
        <v>410</v>
      </c>
      <c r="F42" s="23" t="s">
        <v>76</v>
      </c>
      <c r="G42" s="24">
        <f t="shared" si="34"/>
        <v>0</v>
      </c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54"/>
      <c r="Z42" s="54">
        <f>5000000-5000000</f>
        <v>0</v>
      </c>
      <c r="AA42" s="25" t="e">
        <f t="shared" si="1"/>
        <v>#DIV/0!</v>
      </c>
      <c r="AB42" s="24">
        <f t="shared" si="35"/>
        <v>0</v>
      </c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5" t="e">
        <f t="shared" si="3"/>
        <v>#DIV/0!</v>
      </c>
      <c r="AX42" s="24">
        <f t="shared" si="36"/>
        <v>0</v>
      </c>
      <c r="AY42" s="24">
        <f t="shared" si="46"/>
        <v>0</v>
      </c>
      <c r="AZ42" s="24">
        <f t="shared" si="46"/>
        <v>0</v>
      </c>
      <c r="BA42" s="24">
        <f t="shared" si="46"/>
        <v>0</v>
      </c>
      <c r="BB42" s="24">
        <f t="shared" si="57"/>
        <v>0</v>
      </c>
      <c r="BC42" s="24">
        <f t="shared" si="57"/>
        <v>0</v>
      </c>
      <c r="BD42" s="24">
        <f t="shared" si="57"/>
        <v>0</v>
      </c>
      <c r="BE42" s="24">
        <f t="shared" si="57"/>
        <v>0</v>
      </c>
      <c r="BF42" s="24">
        <f t="shared" si="57"/>
        <v>0</v>
      </c>
      <c r="BG42" s="24">
        <f t="shared" si="57"/>
        <v>0</v>
      </c>
      <c r="BH42" s="24">
        <f t="shared" si="57"/>
        <v>0</v>
      </c>
      <c r="BI42" s="24">
        <f t="shared" si="57"/>
        <v>0</v>
      </c>
      <c r="BJ42" s="24">
        <f t="shared" si="57"/>
        <v>0</v>
      </c>
      <c r="BK42" s="24">
        <f t="shared" si="57"/>
        <v>0</v>
      </c>
      <c r="BL42" s="24">
        <f t="shared" si="57"/>
        <v>0</v>
      </c>
      <c r="BM42" s="24">
        <f t="shared" si="57"/>
        <v>0</v>
      </c>
      <c r="BN42" s="24"/>
      <c r="BO42" s="24"/>
      <c r="BP42" s="24">
        <f t="shared" si="58"/>
        <v>0</v>
      </c>
      <c r="BQ42" s="24">
        <f t="shared" si="59"/>
        <v>0</v>
      </c>
      <c r="BR42" s="25" t="e">
        <f t="shared" si="10"/>
        <v>#DIV/0!</v>
      </c>
      <c r="BS42" s="24">
        <f t="shared" si="39"/>
        <v>0</v>
      </c>
      <c r="BT42" s="24"/>
      <c r="BU42" s="24"/>
      <c r="BV42" s="24"/>
      <c r="BW42" s="24"/>
      <c r="BX42" s="24"/>
      <c r="BY42" s="24"/>
      <c r="BZ42" s="24"/>
      <c r="CA42" s="24"/>
      <c r="CB42" s="24"/>
      <c r="CC42" s="24"/>
      <c r="CD42" s="24"/>
      <c r="CE42" s="24"/>
      <c r="CF42" s="24"/>
      <c r="CG42" s="24"/>
      <c r="CH42" s="24"/>
      <c r="CI42" s="24"/>
      <c r="CJ42" s="24"/>
      <c r="CK42" s="24"/>
      <c r="CL42" s="24"/>
      <c r="CM42" s="24"/>
      <c r="CN42" s="25" t="e">
        <f t="shared" si="12"/>
        <v>#DIV/0!</v>
      </c>
      <c r="CO42" s="24">
        <f t="shared" si="40"/>
        <v>0</v>
      </c>
      <c r="CP42" s="24">
        <f t="shared" si="49"/>
        <v>0</v>
      </c>
      <c r="CQ42" s="24">
        <f t="shared" si="49"/>
        <v>0</v>
      </c>
      <c r="CR42" s="24">
        <f t="shared" si="49"/>
        <v>0</v>
      </c>
      <c r="CS42" s="24">
        <f t="shared" si="49"/>
        <v>0</v>
      </c>
      <c r="CT42" s="24">
        <f t="shared" si="49"/>
        <v>0</v>
      </c>
      <c r="CU42" s="24">
        <f t="shared" si="49"/>
        <v>0</v>
      </c>
      <c r="CV42" s="24">
        <f t="shared" si="60"/>
        <v>0</v>
      </c>
      <c r="CW42" s="24">
        <f t="shared" si="60"/>
        <v>0</v>
      </c>
      <c r="CX42" s="24">
        <f t="shared" si="60"/>
        <v>0</v>
      </c>
      <c r="CY42" s="24">
        <f t="shared" si="51"/>
        <v>0</v>
      </c>
      <c r="CZ42" s="24">
        <f t="shared" si="51"/>
        <v>0</v>
      </c>
      <c r="DA42" s="24">
        <f t="shared" si="51"/>
        <v>0</v>
      </c>
      <c r="DB42" s="24">
        <f t="shared" si="61"/>
        <v>0</v>
      </c>
      <c r="DC42" s="24">
        <f t="shared" si="61"/>
        <v>0</v>
      </c>
      <c r="DD42" s="24">
        <f t="shared" si="61"/>
        <v>0</v>
      </c>
      <c r="DE42" s="24"/>
      <c r="DF42" s="24">
        <f t="shared" si="62"/>
        <v>0</v>
      </c>
      <c r="DG42" s="24">
        <f t="shared" si="55"/>
        <v>0</v>
      </c>
      <c r="DH42" s="24">
        <f t="shared" si="63"/>
        <v>0</v>
      </c>
      <c r="DJ42" s="29">
        <f t="shared" si="54"/>
        <v>0</v>
      </c>
      <c r="DK42" s="29">
        <f t="shared" si="20"/>
        <v>0</v>
      </c>
      <c r="DL42" s="29">
        <f t="shared" si="21"/>
        <v>0</v>
      </c>
    </row>
    <row r="43" spans="1:117" x14ac:dyDescent="0.25">
      <c r="A43" s="238"/>
      <c r="B43" s="231" t="s">
        <v>143</v>
      </c>
      <c r="C43" s="20" t="s">
        <v>144</v>
      </c>
      <c r="D43" s="21" t="s">
        <v>145</v>
      </c>
      <c r="E43" s="22">
        <v>410</v>
      </c>
      <c r="F43" s="23" t="s">
        <v>91</v>
      </c>
      <c r="G43" s="24">
        <f t="shared" si="34"/>
        <v>1828304065</v>
      </c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>
        <f>1300000000+44000000-44000000+488711643+13621206+25971216</f>
        <v>1828304065</v>
      </c>
      <c r="S43" s="24"/>
      <c r="T43" s="24"/>
      <c r="U43" s="24"/>
      <c r="V43" s="24"/>
      <c r="W43" s="24"/>
      <c r="X43" s="24"/>
      <c r="Y43" s="54"/>
      <c r="Z43" s="54"/>
      <c r="AA43" s="25">
        <f t="shared" si="1"/>
        <v>0.97482030922465845</v>
      </c>
      <c r="AB43" s="24">
        <f t="shared" si="35"/>
        <v>1782267934</v>
      </c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>
        <f>+'[1]SEPTIEMBRE 2016'!$V$1765</f>
        <v>1782267934</v>
      </c>
      <c r="AO43" s="24"/>
      <c r="AP43" s="24"/>
      <c r="AQ43" s="24"/>
      <c r="AR43" s="24"/>
      <c r="AS43" s="24"/>
      <c r="AT43" s="24"/>
      <c r="AU43" s="24"/>
      <c r="AV43" s="24"/>
      <c r="AW43" s="25">
        <f t="shared" si="3"/>
        <v>2.5179690775341546E-2</v>
      </c>
      <c r="AX43" s="24">
        <f t="shared" si="36"/>
        <v>46036131</v>
      </c>
      <c r="AY43" s="24">
        <f t="shared" si="46"/>
        <v>0</v>
      </c>
      <c r="AZ43" s="24">
        <f t="shared" si="46"/>
        <v>0</v>
      </c>
      <c r="BA43" s="24">
        <f t="shared" si="46"/>
        <v>0</v>
      </c>
      <c r="BB43" s="24">
        <f t="shared" si="57"/>
        <v>0</v>
      </c>
      <c r="BC43" s="24">
        <f t="shared" si="57"/>
        <v>0</v>
      </c>
      <c r="BD43" s="24">
        <f t="shared" si="57"/>
        <v>0</v>
      </c>
      <c r="BE43" s="24">
        <f t="shared" si="57"/>
        <v>0</v>
      </c>
      <c r="BF43" s="24">
        <f t="shared" si="57"/>
        <v>0</v>
      </c>
      <c r="BG43" s="24">
        <f t="shared" si="57"/>
        <v>0</v>
      </c>
      <c r="BH43" s="24">
        <f t="shared" si="57"/>
        <v>0</v>
      </c>
      <c r="BI43" s="24">
        <f t="shared" si="57"/>
        <v>46036131</v>
      </c>
      <c r="BJ43" s="24">
        <f t="shared" si="57"/>
        <v>0</v>
      </c>
      <c r="BK43" s="24">
        <f t="shared" si="57"/>
        <v>0</v>
      </c>
      <c r="BL43" s="24">
        <f t="shared" si="57"/>
        <v>0</v>
      </c>
      <c r="BM43" s="24">
        <f t="shared" si="57"/>
        <v>0</v>
      </c>
      <c r="BN43" s="24"/>
      <c r="BO43" s="24">
        <f>+X43-AT43</f>
        <v>0</v>
      </c>
      <c r="BP43" s="24">
        <f t="shared" si="58"/>
        <v>0</v>
      </c>
      <c r="BQ43" s="24">
        <f t="shared" si="59"/>
        <v>0</v>
      </c>
      <c r="BR43" s="25">
        <f t="shared" si="10"/>
        <v>0.65478605824792058</v>
      </c>
      <c r="BS43" s="24">
        <f t="shared" si="39"/>
        <v>1197148012</v>
      </c>
      <c r="BT43" s="24"/>
      <c r="BU43" s="24"/>
      <c r="BV43" s="24"/>
      <c r="BW43" s="24"/>
      <c r="BX43" s="24"/>
      <c r="BY43" s="24"/>
      <c r="BZ43" s="24"/>
      <c r="CA43" s="24"/>
      <c r="CB43" s="24"/>
      <c r="CC43" s="24"/>
      <c r="CD43" s="24"/>
      <c r="CE43" s="24">
        <f>+'[1]SEPTIEMBRE 2016'!$H$1763</f>
        <v>1197148012</v>
      </c>
      <c r="CF43" s="24"/>
      <c r="CG43" s="24"/>
      <c r="CH43" s="24"/>
      <c r="CI43" s="24"/>
      <c r="CJ43" s="24"/>
      <c r="CK43" s="24"/>
      <c r="CL43" s="24"/>
      <c r="CM43" s="24"/>
      <c r="CN43" s="25">
        <f t="shared" si="12"/>
        <v>0.34521394175207942</v>
      </c>
      <c r="CO43" s="24">
        <f t="shared" si="40"/>
        <v>631156053</v>
      </c>
      <c r="CP43" s="24">
        <f t="shared" si="49"/>
        <v>0</v>
      </c>
      <c r="CQ43" s="24">
        <f t="shared" si="49"/>
        <v>0</v>
      </c>
      <c r="CR43" s="24">
        <f t="shared" si="49"/>
        <v>0</v>
      </c>
      <c r="CS43" s="24">
        <f t="shared" si="49"/>
        <v>0</v>
      </c>
      <c r="CT43" s="24">
        <f t="shared" si="49"/>
        <v>0</v>
      </c>
      <c r="CU43" s="24">
        <f t="shared" si="49"/>
        <v>0</v>
      </c>
      <c r="CV43" s="24">
        <f t="shared" si="60"/>
        <v>0</v>
      </c>
      <c r="CW43" s="24">
        <f t="shared" si="60"/>
        <v>0</v>
      </c>
      <c r="CX43" s="24">
        <f t="shared" si="60"/>
        <v>0</v>
      </c>
      <c r="CY43" s="24">
        <f t="shared" si="51"/>
        <v>0</v>
      </c>
      <c r="CZ43" s="24">
        <f t="shared" si="51"/>
        <v>631156053</v>
      </c>
      <c r="DA43" s="24">
        <f t="shared" si="51"/>
        <v>0</v>
      </c>
      <c r="DB43" s="24">
        <f t="shared" si="61"/>
        <v>0</v>
      </c>
      <c r="DC43" s="24">
        <f t="shared" si="61"/>
        <v>0</v>
      </c>
      <c r="DD43" s="24">
        <f t="shared" si="61"/>
        <v>0</v>
      </c>
      <c r="DE43" s="24"/>
      <c r="DF43" s="24">
        <f t="shared" si="62"/>
        <v>0</v>
      </c>
      <c r="DG43" s="24">
        <f t="shared" si="55"/>
        <v>0</v>
      </c>
      <c r="DH43" s="24">
        <f t="shared" si="63"/>
        <v>0</v>
      </c>
      <c r="DJ43" s="29">
        <f t="shared" si="54"/>
        <v>1828304065</v>
      </c>
      <c r="DK43" s="29">
        <f t="shared" si="20"/>
        <v>1828304065</v>
      </c>
      <c r="DL43" s="29">
        <f t="shared" si="21"/>
        <v>1828304065</v>
      </c>
    </row>
    <row r="44" spans="1:117" ht="30" x14ac:dyDescent="0.25">
      <c r="A44" s="238"/>
      <c r="B44" s="232"/>
      <c r="C44" s="20" t="s">
        <v>146</v>
      </c>
      <c r="D44" s="21" t="s">
        <v>147</v>
      </c>
      <c r="E44" s="22">
        <v>410</v>
      </c>
      <c r="F44" s="23" t="s">
        <v>91</v>
      </c>
      <c r="G44" s="24">
        <f t="shared" si="34"/>
        <v>96094870</v>
      </c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>
        <f>50000000+3094870+20000000+23000000</f>
        <v>96094870</v>
      </c>
      <c r="V44" s="24"/>
      <c r="W44" s="24"/>
      <c r="X44" s="24"/>
      <c r="Y44" s="54"/>
      <c r="Z44" s="54"/>
      <c r="AA44" s="25">
        <f t="shared" si="1"/>
        <v>0.93566407863395828</v>
      </c>
      <c r="AB44" s="24">
        <f t="shared" si="35"/>
        <v>89912518</v>
      </c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>
        <f>+'[1]SEPTIEMBRE 2016'!$Y$2284</f>
        <v>89912518</v>
      </c>
      <c r="AR44" s="24"/>
      <c r="AS44" s="24"/>
      <c r="AT44" s="24"/>
      <c r="AU44" s="24"/>
      <c r="AV44" s="24"/>
      <c r="AW44" s="25">
        <f t="shared" si="3"/>
        <v>6.4335921366041715E-2</v>
      </c>
      <c r="AX44" s="24">
        <f t="shared" si="36"/>
        <v>6182352</v>
      </c>
      <c r="AY44" s="24">
        <f t="shared" si="46"/>
        <v>0</v>
      </c>
      <c r="AZ44" s="24">
        <f t="shared" si="46"/>
        <v>0</v>
      </c>
      <c r="BA44" s="24">
        <f t="shared" si="46"/>
        <v>0</v>
      </c>
      <c r="BB44" s="24">
        <f t="shared" si="57"/>
        <v>0</v>
      </c>
      <c r="BC44" s="24">
        <f t="shared" si="57"/>
        <v>0</v>
      </c>
      <c r="BD44" s="24">
        <f t="shared" si="57"/>
        <v>0</v>
      </c>
      <c r="BE44" s="24">
        <f t="shared" si="57"/>
        <v>0</v>
      </c>
      <c r="BF44" s="24">
        <f>+O44-AL44</f>
        <v>0</v>
      </c>
      <c r="BG44" s="24">
        <f>+P44-AM44</f>
        <v>0</v>
      </c>
      <c r="BH44" s="24">
        <f t="shared" si="57"/>
        <v>0</v>
      </c>
      <c r="BI44" s="24">
        <f t="shared" si="57"/>
        <v>0</v>
      </c>
      <c r="BJ44" s="24">
        <f t="shared" si="57"/>
        <v>0</v>
      </c>
      <c r="BK44" s="24">
        <f t="shared" si="57"/>
        <v>0</v>
      </c>
      <c r="BL44" s="24">
        <f t="shared" si="57"/>
        <v>6182352</v>
      </c>
      <c r="BM44" s="24">
        <f t="shared" si="57"/>
        <v>0</v>
      </c>
      <c r="BN44" s="24"/>
      <c r="BO44" s="24">
        <f>+X44-AT44</f>
        <v>0</v>
      </c>
      <c r="BP44" s="24">
        <f t="shared" si="58"/>
        <v>0</v>
      </c>
      <c r="BQ44" s="24">
        <f t="shared" si="59"/>
        <v>0</v>
      </c>
      <c r="BR44" s="25">
        <f t="shared" si="10"/>
        <v>0.74003816228691499</v>
      </c>
      <c r="BS44" s="24">
        <f t="shared" si="39"/>
        <v>71113871</v>
      </c>
      <c r="BT44" s="24"/>
      <c r="BU44" s="24"/>
      <c r="BV44" s="24"/>
      <c r="BW44" s="24"/>
      <c r="BX44" s="24"/>
      <c r="BY44" s="24"/>
      <c r="BZ44" s="24"/>
      <c r="CA44" s="24"/>
      <c r="CB44" s="24"/>
      <c r="CC44" s="24"/>
      <c r="CD44" s="24"/>
      <c r="CE44" s="24"/>
      <c r="CF44" s="24"/>
      <c r="CG44" s="24"/>
      <c r="CH44" s="24">
        <f>+'[1]SEPTIEMBRE 2016'!$H$2282</f>
        <v>71113871</v>
      </c>
      <c r="CI44" s="24"/>
      <c r="CJ44" s="24"/>
      <c r="CK44" s="24"/>
      <c r="CL44" s="24"/>
      <c r="CM44" s="24"/>
      <c r="CN44" s="25">
        <f t="shared" si="12"/>
        <v>0.25996183771308501</v>
      </c>
      <c r="CO44" s="24">
        <f t="shared" si="40"/>
        <v>24980999</v>
      </c>
      <c r="CP44" s="24">
        <f t="shared" si="49"/>
        <v>0</v>
      </c>
      <c r="CQ44" s="24">
        <f t="shared" si="49"/>
        <v>0</v>
      </c>
      <c r="CR44" s="24">
        <f t="shared" si="49"/>
        <v>0</v>
      </c>
      <c r="CS44" s="24">
        <f t="shared" si="49"/>
        <v>0</v>
      </c>
      <c r="CT44" s="24">
        <f t="shared" si="49"/>
        <v>0</v>
      </c>
      <c r="CU44" s="24">
        <f t="shared" si="49"/>
        <v>0</v>
      </c>
      <c r="CV44" s="24">
        <f t="shared" si="60"/>
        <v>0</v>
      </c>
      <c r="CW44" s="24">
        <f t="shared" si="60"/>
        <v>0</v>
      </c>
      <c r="CX44" s="24">
        <f t="shared" si="60"/>
        <v>0</v>
      </c>
      <c r="CY44" s="24">
        <f t="shared" si="51"/>
        <v>0</v>
      </c>
      <c r="CZ44" s="24">
        <f t="shared" si="51"/>
        <v>0</v>
      </c>
      <c r="DA44" s="24">
        <f t="shared" si="51"/>
        <v>0</v>
      </c>
      <c r="DB44" s="24">
        <f t="shared" si="61"/>
        <v>0</v>
      </c>
      <c r="DC44" s="24">
        <f t="shared" si="61"/>
        <v>24980999</v>
      </c>
      <c r="DD44" s="24">
        <f t="shared" si="61"/>
        <v>0</v>
      </c>
      <c r="DE44" s="24"/>
      <c r="DF44" s="24">
        <f t="shared" si="62"/>
        <v>0</v>
      </c>
      <c r="DG44" s="24">
        <f t="shared" si="55"/>
        <v>0</v>
      </c>
      <c r="DH44" s="24">
        <f t="shared" si="63"/>
        <v>0</v>
      </c>
      <c r="DJ44" s="29">
        <f t="shared" si="54"/>
        <v>96094870</v>
      </c>
      <c r="DK44" s="29">
        <f t="shared" si="20"/>
        <v>96094870</v>
      </c>
      <c r="DL44" s="29">
        <f t="shared" si="21"/>
        <v>96094870</v>
      </c>
    </row>
    <row r="45" spans="1:117" x14ac:dyDescent="0.25">
      <c r="A45" s="238"/>
      <c r="B45" s="233"/>
      <c r="C45" s="20" t="s">
        <v>148</v>
      </c>
      <c r="D45" s="21" t="s">
        <v>149</v>
      </c>
      <c r="E45" s="22">
        <v>410</v>
      </c>
      <c r="F45" s="23" t="s">
        <v>91</v>
      </c>
      <c r="G45" s="24">
        <f t="shared" si="34"/>
        <v>22111130</v>
      </c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>
        <f>20000000-3094870+5206000</f>
        <v>22111130</v>
      </c>
      <c r="V45" s="24"/>
      <c r="W45" s="24"/>
      <c r="X45" s="24"/>
      <c r="Y45" s="54"/>
      <c r="Z45" s="54"/>
      <c r="AA45" s="25">
        <f t="shared" si="1"/>
        <v>0.76455296495475356</v>
      </c>
      <c r="AB45" s="24">
        <f t="shared" si="35"/>
        <v>16905130</v>
      </c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4"/>
      <c r="AQ45" s="24">
        <f>+'[9]MARZO 2016 ULTIMO'!$Y$724</f>
        <v>16905130</v>
      </c>
      <c r="AR45" s="24"/>
      <c r="AS45" s="24"/>
      <c r="AT45" s="24"/>
      <c r="AU45" s="24"/>
      <c r="AV45" s="24"/>
      <c r="AW45" s="25">
        <f t="shared" si="3"/>
        <v>0.23544703504524644</v>
      </c>
      <c r="AX45" s="24">
        <f t="shared" si="36"/>
        <v>5206000</v>
      </c>
      <c r="AY45" s="24">
        <f t="shared" si="46"/>
        <v>0</v>
      </c>
      <c r="AZ45" s="24">
        <f t="shared" si="46"/>
        <v>0</v>
      </c>
      <c r="BA45" s="24">
        <f t="shared" si="46"/>
        <v>0</v>
      </c>
      <c r="BB45" s="24">
        <f t="shared" si="57"/>
        <v>0</v>
      </c>
      <c r="BC45" s="24">
        <f t="shared" si="57"/>
        <v>0</v>
      </c>
      <c r="BD45" s="24">
        <f t="shared" si="57"/>
        <v>0</v>
      </c>
      <c r="BE45" s="24">
        <f t="shared" si="57"/>
        <v>0</v>
      </c>
      <c r="BF45" s="24">
        <f>+O45-AL45</f>
        <v>0</v>
      </c>
      <c r="BG45" s="24">
        <f>+P45-AM45</f>
        <v>0</v>
      </c>
      <c r="BH45" s="24">
        <f t="shared" si="57"/>
        <v>0</v>
      </c>
      <c r="BI45" s="24">
        <f t="shared" si="57"/>
        <v>0</v>
      </c>
      <c r="BJ45" s="24">
        <f t="shared" si="57"/>
        <v>0</v>
      </c>
      <c r="BK45" s="24"/>
      <c r="BL45" s="24">
        <f t="shared" si="57"/>
        <v>5206000</v>
      </c>
      <c r="BM45" s="24">
        <f t="shared" si="57"/>
        <v>0</v>
      </c>
      <c r="BN45" s="24"/>
      <c r="BO45" s="24"/>
      <c r="BP45" s="24">
        <f t="shared" si="58"/>
        <v>0</v>
      </c>
      <c r="BQ45" s="24">
        <f t="shared" si="59"/>
        <v>0</v>
      </c>
      <c r="BR45" s="25">
        <f t="shared" si="10"/>
        <v>0.76455296495475356</v>
      </c>
      <c r="BS45" s="24">
        <f t="shared" si="39"/>
        <v>16905130</v>
      </c>
      <c r="BT45" s="24"/>
      <c r="BU45" s="24"/>
      <c r="BV45" s="24"/>
      <c r="BW45" s="24"/>
      <c r="BX45" s="24"/>
      <c r="BY45" s="24"/>
      <c r="BZ45" s="24"/>
      <c r="CA45" s="24"/>
      <c r="CB45" s="24"/>
      <c r="CC45" s="24"/>
      <c r="CD45" s="24"/>
      <c r="CE45" s="24"/>
      <c r="CF45" s="24"/>
      <c r="CG45" s="24"/>
      <c r="CH45" s="24">
        <f>+'[8]ABRIL 2016'!$H$929</f>
        <v>16905130</v>
      </c>
      <c r="CI45" s="24"/>
      <c r="CJ45" s="24"/>
      <c r="CK45" s="24"/>
      <c r="CL45" s="24"/>
      <c r="CM45" s="24"/>
      <c r="CN45" s="25">
        <f t="shared" si="12"/>
        <v>0.23544703504524644</v>
      </c>
      <c r="CO45" s="24">
        <f t="shared" si="40"/>
        <v>5206000</v>
      </c>
      <c r="CP45" s="24">
        <f t="shared" si="49"/>
        <v>0</v>
      </c>
      <c r="CQ45" s="24">
        <f t="shared" si="49"/>
        <v>0</v>
      </c>
      <c r="CR45" s="24">
        <f t="shared" si="49"/>
        <v>0</v>
      </c>
      <c r="CS45" s="24">
        <f t="shared" si="49"/>
        <v>0</v>
      </c>
      <c r="CT45" s="24">
        <f t="shared" si="49"/>
        <v>0</v>
      </c>
      <c r="CU45" s="24">
        <f t="shared" si="49"/>
        <v>0</v>
      </c>
      <c r="CV45" s="24">
        <f t="shared" si="60"/>
        <v>0</v>
      </c>
      <c r="CW45" s="24">
        <f t="shared" si="60"/>
        <v>0</v>
      </c>
      <c r="CX45" s="24">
        <f t="shared" si="60"/>
        <v>0</v>
      </c>
      <c r="CY45" s="24">
        <f t="shared" si="51"/>
        <v>0</v>
      </c>
      <c r="CZ45" s="24">
        <f t="shared" si="51"/>
        <v>0</v>
      </c>
      <c r="DA45" s="24">
        <f t="shared" si="51"/>
        <v>0</v>
      </c>
      <c r="DB45" s="24">
        <f t="shared" si="61"/>
        <v>0</v>
      </c>
      <c r="DC45" s="24">
        <f t="shared" si="61"/>
        <v>5206000</v>
      </c>
      <c r="DD45" s="24">
        <f t="shared" si="61"/>
        <v>0</v>
      </c>
      <c r="DE45" s="24"/>
      <c r="DF45" s="24">
        <f t="shared" si="62"/>
        <v>0</v>
      </c>
      <c r="DG45" s="24">
        <f t="shared" si="55"/>
        <v>0</v>
      </c>
      <c r="DH45" s="24">
        <f t="shared" si="63"/>
        <v>0</v>
      </c>
      <c r="DJ45" s="29">
        <f t="shared" si="54"/>
        <v>22111130</v>
      </c>
      <c r="DK45" s="29">
        <f t="shared" si="20"/>
        <v>22111130</v>
      </c>
      <c r="DL45" s="29">
        <f t="shared" si="21"/>
        <v>22111130</v>
      </c>
    </row>
    <row r="46" spans="1:117" ht="30" x14ac:dyDescent="0.25">
      <c r="A46" s="238"/>
      <c r="B46" s="231" t="s">
        <v>150</v>
      </c>
      <c r="C46" s="20" t="s">
        <v>151</v>
      </c>
      <c r="D46" s="21" t="s">
        <v>152</v>
      </c>
      <c r="E46" s="22">
        <v>410</v>
      </c>
      <c r="F46" s="23" t="s">
        <v>91</v>
      </c>
      <c r="G46" s="24">
        <f t="shared" si="34"/>
        <v>20000000</v>
      </c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>
        <v>20000000</v>
      </c>
      <c r="V46" s="24"/>
      <c r="W46" s="24"/>
      <c r="X46" s="24"/>
      <c r="Y46" s="54"/>
      <c r="Z46" s="54"/>
      <c r="AA46" s="25">
        <f t="shared" si="1"/>
        <v>1</v>
      </c>
      <c r="AB46" s="24">
        <f t="shared" si="35"/>
        <v>20000000</v>
      </c>
      <c r="AC46" s="24"/>
      <c r="AD46" s="24"/>
      <c r="AE46" s="24"/>
      <c r="AF46" s="24"/>
      <c r="AG46" s="24"/>
      <c r="AH46" s="24"/>
      <c r="AI46" s="24"/>
      <c r="AJ46" s="24"/>
      <c r="AK46" s="24"/>
      <c r="AL46" s="24"/>
      <c r="AM46" s="24"/>
      <c r="AN46" s="24"/>
      <c r="AO46" s="24"/>
      <c r="AP46" s="24"/>
      <c r="AQ46" s="24">
        <f>+'[2]ENERO 2016'!$Y$406</f>
        <v>20000000</v>
      </c>
      <c r="AR46" s="24"/>
      <c r="AS46" s="24"/>
      <c r="AT46" s="24"/>
      <c r="AU46" s="24"/>
      <c r="AV46" s="24"/>
      <c r="AW46" s="25">
        <f t="shared" si="3"/>
        <v>0</v>
      </c>
      <c r="AX46" s="24">
        <f t="shared" si="36"/>
        <v>0</v>
      </c>
      <c r="AY46" s="24">
        <f t="shared" si="46"/>
        <v>0</v>
      </c>
      <c r="AZ46" s="24">
        <f t="shared" si="46"/>
        <v>0</v>
      </c>
      <c r="BA46" s="24">
        <f t="shared" si="46"/>
        <v>0</v>
      </c>
      <c r="BB46" s="24">
        <f t="shared" si="57"/>
        <v>0</v>
      </c>
      <c r="BC46" s="24">
        <f t="shared" si="57"/>
        <v>0</v>
      </c>
      <c r="BD46" s="24">
        <f t="shared" si="57"/>
        <v>0</v>
      </c>
      <c r="BE46" s="24">
        <f t="shared" si="57"/>
        <v>0</v>
      </c>
      <c r="BF46" s="24">
        <f t="shared" si="57"/>
        <v>0</v>
      </c>
      <c r="BG46" s="24">
        <f t="shared" ref="BG46:BG59" si="64">+P46-AM46</f>
        <v>0</v>
      </c>
      <c r="BH46" s="24">
        <f t="shared" si="57"/>
        <v>0</v>
      </c>
      <c r="BI46" s="24">
        <f t="shared" si="57"/>
        <v>0</v>
      </c>
      <c r="BJ46" s="24">
        <f t="shared" si="57"/>
        <v>0</v>
      </c>
      <c r="BK46" s="24">
        <f>+T46-AP46</f>
        <v>0</v>
      </c>
      <c r="BL46" s="24">
        <f t="shared" si="57"/>
        <v>0</v>
      </c>
      <c r="BM46" s="24">
        <f t="shared" si="57"/>
        <v>0</v>
      </c>
      <c r="BN46" s="24"/>
      <c r="BO46" s="24">
        <f>+X46-AT46</f>
        <v>0</v>
      </c>
      <c r="BP46" s="24">
        <f t="shared" si="58"/>
        <v>0</v>
      </c>
      <c r="BQ46" s="24">
        <f t="shared" si="59"/>
        <v>0</v>
      </c>
      <c r="BR46" s="25">
        <f t="shared" si="10"/>
        <v>1</v>
      </c>
      <c r="BS46" s="24">
        <f t="shared" si="39"/>
        <v>20000000</v>
      </c>
      <c r="BT46" s="24"/>
      <c r="BU46" s="24"/>
      <c r="BV46" s="24"/>
      <c r="BW46" s="24"/>
      <c r="BX46" s="24"/>
      <c r="BY46" s="24"/>
      <c r="BZ46" s="24"/>
      <c r="CA46" s="24"/>
      <c r="CB46" s="24"/>
      <c r="CC46" s="24"/>
      <c r="CD46" s="24"/>
      <c r="CE46" s="24"/>
      <c r="CF46" s="24"/>
      <c r="CG46" s="24"/>
      <c r="CH46" s="24">
        <f>+'[5]JULIO 2016'!$H$1402</f>
        <v>20000000</v>
      </c>
      <c r="CI46" s="24"/>
      <c r="CJ46" s="24"/>
      <c r="CK46" s="24"/>
      <c r="CL46" s="24"/>
      <c r="CM46" s="24"/>
      <c r="CN46" s="25">
        <f t="shared" si="12"/>
        <v>0</v>
      </c>
      <c r="CO46" s="24">
        <f t="shared" si="40"/>
        <v>0</v>
      </c>
      <c r="CP46" s="24">
        <f t="shared" si="49"/>
        <v>0</v>
      </c>
      <c r="CQ46" s="24">
        <f t="shared" si="49"/>
        <v>0</v>
      </c>
      <c r="CR46" s="24">
        <f t="shared" si="49"/>
        <v>0</v>
      </c>
      <c r="CS46" s="24">
        <f t="shared" si="49"/>
        <v>0</v>
      </c>
      <c r="CT46" s="24">
        <f t="shared" si="49"/>
        <v>0</v>
      </c>
      <c r="CU46" s="24">
        <f t="shared" si="49"/>
        <v>0</v>
      </c>
      <c r="CV46" s="24">
        <f t="shared" si="60"/>
        <v>0</v>
      </c>
      <c r="CW46" s="24">
        <f t="shared" si="60"/>
        <v>0</v>
      </c>
      <c r="CX46" s="24">
        <f t="shared" si="60"/>
        <v>0</v>
      </c>
      <c r="CY46" s="24">
        <f t="shared" si="51"/>
        <v>0</v>
      </c>
      <c r="CZ46" s="24">
        <f t="shared" si="51"/>
        <v>0</v>
      </c>
      <c r="DA46" s="24">
        <f t="shared" si="51"/>
        <v>0</v>
      </c>
      <c r="DB46" s="24">
        <f t="shared" si="61"/>
        <v>0</v>
      </c>
      <c r="DC46" s="24">
        <f t="shared" si="61"/>
        <v>0</v>
      </c>
      <c r="DD46" s="24">
        <f t="shared" si="61"/>
        <v>0</v>
      </c>
      <c r="DE46" s="24"/>
      <c r="DF46" s="24">
        <f t="shared" si="62"/>
        <v>0</v>
      </c>
      <c r="DG46" s="24">
        <f t="shared" si="55"/>
        <v>0</v>
      </c>
      <c r="DH46" s="24">
        <f t="shared" si="63"/>
        <v>0</v>
      </c>
      <c r="DJ46" s="29">
        <f t="shared" si="54"/>
        <v>20000000</v>
      </c>
      <c r="DK46" s="29">
        <f t="shared" si="20"/>
        <v>20000000</v>
      </c>
      <c r="DL46" s="29">
        <f t="shared" si="21"/>
        <v>20000000</v>
      </c>
    </row>
    <row r="47" spans="1:117" ht="30" x14ac:dyDescent="0.25">
      <c r="A47" s="238"/>
      <c r="B47" s="232"/>
      <c r="C47" s="20" t="s">
        <v>153</v>
      </c>
      <c r="D47" s="21" t="s">
        <v>154</v>
      </c>
      <c r="E47" s="22">
        <v>410</v>
      </c>
      <c r="F47" s="23" t="s">
        <v>91</v>
      </c>
      <c r="G47" s="24">
        <f t="shared" si="34"/>
        <v>10000000</v>
      </c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>
        <v>10000000</v>
      </c>
      <c r="V47" s="24"/>
      <c r="W47" s="24"/>
      <c r="X47" s="24"/>
      <c r="Y47" s="54"/>
      <c r="Z47" s="54"/>
      <c r="AA47" s="25">
        <f t="shared" si="1"/>
        <v>0.9996834</v>
      </c>
      <c r="AB47" s="24">
        <f t="shared" si="35"/>
        <v>9996834</v>
      </c>
      <c r="AC47" s="24"/>
      <c r="AD47" s="24"/>
      <c r="AE47" s="24"/>
      <c r="AF47" s="24"/>
      <c r="AG47" s="24"/>
      <c r="AH47" s="24"/>
      <c r="AI47" s="24"/>
      <c r="AJ47" s="24"/>
      <c r="AK47" s="24"/>
      <c r="AL47" s="24"/>
      <c r="AM47" s="24"/>
      <c r="AN47" s="24"/>
      <c r="AO47" s="24"/>
      <c r="AP47" s="24"/>
      <c r="AQ47" s="24">
        <f>+'[1]SEPTIEMBRE 2016'!$Y$2326</f>
        <v>9996834</v>
      </c>
      <c r="AR47" s="24"/>
      <c r="AS47" s="24"/>
      <c r="AT47" s="24"/>
      <c r="AU47" s="24"/>
      <c r="AV47" s="24"/>
      <c r="AW47" s="25">
        <f t="shared" si="3"/>
        <v>3.1660000000000021E-4</v>
      </c>
      <c r="AX47" s="24">
        <f t="shared" si="36"/>
        <v>3166</v>
      </c>
      <c r="AY47" s="24">
        <f t="shared" si="46"/>
        <v>0</v>
      </c>
      <c r="AZ47" s="24">
        <f t="shared" si="46"/>
        <v>0</v>
      </c>
      <c r="BA47" s="24">
        <f t="shared" si="46"/>
        <v>0</v>
      </c>
      <c r="BB47" s="24">
        <f t="shared" si="57"/>
        <v>0</v>
      </c>
      <c r="BC47" s="24">
        <f t="shared" si="57"/>
        <v>0</v>
      </c>
      <c r="BD47" s="24">
        <f t="shared" si="57"/>
        <v>0</v>
      </c>
      <c r="BE47" s="24">
        <f t="shared" si="57"/>
        <v>0</v>
      </c>
      <c r="BF47" s="24">
        <f t="shared" si="57"/>
        <v>0</v>
      </c>
      <c r="BG47" s="24">
        <f t="shared" si="64"/>
        <v>0</v>
      </c>
      <c r="BH47" s="24">
        <f t="shared" si="57"/>
        <v>0</v>
      </c>
      <c r="BI47" s="24">
        <f t="shared" si="57"/>
        <v>0</v>
      </c>
      <c r="BJ47" s="24">
        <f t="shared" si="57"/>
        <v>0</v>
      </c>
      <c r="BK47" s="24">
        <f>+T47-AP47</f>
        <v>0</v>
      </c>
      <c r="BL47" s="24">
        <f t="shared" si="57"/>
        <v>3166</v>
      </c>
      <c r="BM47" s="24">
        <f t="shared" si="57"/>
        <v>0</v>
      </c>
      <c r="BN47" s="24"/>
      <c r="BO47" s="24"/>
      <c r="BP47" s="24">
        <f t="shared" si="58"/>
        <v>0</v>
      </c>
      <c r="BQ47" s="24">
        <f t="shared" si="59"/>
        <v>0</v>
      </c>
      <c r="BR47" s="25">
        <f t="shared" si="10"/>
        <v>0.92333399999999999</v>
      </c>
      <c r="BS47" s="24">
        <f t="shared" si="39"/>
        <v>9233340</v>
      </c>
      <c r="BT47" s="24"/>
      <c r="BU47" s="24"/>
      <c r="BV47" s="24"/>
      <c r="BW47" s="24"/>
      <c r="BX47" s="24"/>
      <c r="BY47" s="24"/>
      <c r="BZ47" s="24"/>
      <c r="CA47" s="24"/>
      <c r="CB47" s="24"/>
      <c r="CC47" s="24"/>
      <c r="CD47" s="24"/>
      <c r="CE47" s="24"/>
      <c r="CF47" s="24"/>
      <c r="CG47" s="24"/>
      <c r="CH47" s="24">
        <f>+'[7]MAYO 2016'!$H$1115</f>
        <v>9233340</v>
      </c>
      <c r="CI47" s="24"/>
      <c r="CJ47" s="24"/>
      <c r="CK47" s="24"/>
      <c r="CL47" s="24"/>
      <c r="CM47" s="24"/>
      <c r="CN47" s="25">
        <f t="shared" si="12"/>
        <v>7.6666000000000012E-2</v>
      </c>
      <c r="CO47" s="24">
        <f t="shared" si="40"/>
        <v>766660</v>
      </c>
      <c r="CP47" s="24">
        <f t="shared" si="49"/>
        <v>0</v>
      </c>
      <c r="CQ47" s="24">
        <f t="shared" si="49"/>
        <v>0</v>
      </c>
      <c r="CR47" s="24">
        <f t="shared" si="49"/>
        <v>0</v>
      </c>
      <c r="CS47" s="24">
        <f t="shared" si="49"/>
        <v>0</v>
      </c>
      <c r="CT47" s="24">
        <f t="shared" si="49"/>
        <v>0</v>
      </c>
      <c r="CU47" s="24">
        <f t="shared" si="49"/>
        <v>0</v>
      </c>
      <c r="CV47" s="24">
        <f t="shared" si="60"/>
        <v>0</v>
      </c>
      <c r="CW47" s="24">
        <f t="shared" si="60"/>
        <v>0</v>
      </c>
      <c r="CX47" s="24">
        <f t="shared" si="60"/>
        <v>0</v>
      </c>
      <c r="CY47" s="24">
        <f t="shared" si="51"/>
        <v>0</v>
      </c>
      <c r="CZ47" s="24">
        <f t="shared" si="51"/>
        <v>0</v>
      </c>
      <c r="DA47" s="24">
        <f t="shared" si="51"/>
        <v>0</v>
      </c>
      <c r="DB47" s="24">
        <f t="shared" si="61"/>
        <v>0</v>
      </c>
      <c r="DC47" s="24">
        <f t="shared" si="61"/>
        <v>766660</v>
      </c>
      <c r="DD47" s="24">
        <f t="shared" si="61"/>
        <v>0</v>
      </c>
      <c r="DE47" s="24"/>
      <c r="DF47" s="24">
        <f t="shared" si="62"/>
        <v>0</v>
      </c>
      <c r="DG47" s="24">
        <f t="shared" si="55"/>
        <v>0</v>
      </c>
      <c r="DH47" s="24">
        <f t="shared" si="63"/>
        <v>0</v>
      </c>
      <c r="DJ47" s="29">
        <f t="shared" si="54"/>
        <v>10000000</v>
      </c>
      <c r="DK47" s="29">
        <f t="shared" si="20"/>
        <v>10000000</v>
      </c>
      <c r="DL47" s="29">
        <f t="shared" si="21"/>
        <v>10000000</v>
      </c>
    </row>
    <row r="48" spans="1:117" x14ac:dyDescent="0.25">
      <c r="A48" s="238"/>
      <c r="B48" s="232"/>
      <c r="C48" s="20" t="s">
        <v>155</v>
      </c>
      <c r="D48" s="21" t="s">
        <v>156</v>
      </c>
      <c r="E48" s="22">
        <v>410</v>
      </c>
      <c r="F48" s="23" t="s">
        <v>91</v>
      </c>
      <c r="G48" s="24">
        <f t="shared" si="34"/>
        <v>20000000</v>
      </c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>
        <v>20000000</v>
      </c>
      <c r="V48" s="24"/>
      <c r="W48" s="24"/>
      <c r="X48" s="24"/>
      <c r="Y48" s="54"/>
      <c r="Z48" s="54"/>
      <c r="AA48" s="25">
        <f t="shared" si="1"/>
        <v>0.99988060000000001</v>
      </c>
      <c r="AB48" s="24">
        <f t="shared" si="35"/>
        <v>19997612</v>
      </c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>
        <f>+'[4]AGOSTO 2016'!$Y$1965</f>
        <v>19997612</v>
      </c>
      <c r="AR48" s="24"/>
      <c r="AS48" s="24"/>
      <c r="AT48" s="24"/>
      <c r="AU48" s="24"/>
      <c r="AV48" s="24"/>
      <c r="AW48" s="25">
        <f t="shared" si="3"/>
        <v>1.1939999999999173E-4</v>
      </c>
      <c r="AX48" s="24">
        <f t="shared" si="36"/>
        <v>2388</v>
      </c>
      <c r="AY48" s="24">
        <f t="shared" si="46"/>
        <v>0</v>
      </c>
      <c r="AZ48" s="24">
        <f t="shared" si="46"/>
        <v>0</v>
      </c>
      <c r="BA48" s="24">
        <f t="shared" si="46"/>
        <v>0</v>
      </c>
      <c r="BB48" s="24">
        <f t="shared" si="57"/>
        <v>0</v>
      </c>
      <c r="BC48" s="24">
        <f t="shared" si="57"/>
        <v>0</v>
      </c>
      <c r="BD48" s="24">
        <f t="shared" si="57"/>
        <v>0</v>
      </c>
      <c r="BE48" s="24">
        <f t="shared" si="57"/>
        <v>0</v>
      </c>
      <c r="BF48" s="24">
        <f t="shared" si="57"/>
        <v>0</v>
      </c>
      <c r="BG48" s="24">
        <f t="shared" si="64"/>
        <v>0</v>
      </c>
      <c r="BH48" s="24">
        <f t="shared" si="57"/>
        <v>0</v>
      </c>
      <c r="BI48" s="24">
        <f t="shared" si="57"/>
        <v>0</v>
      </c>
      <c r="BJ48" s="24">
        <f t="shared" si="57"/>
        <v>0</v>
      </c>
      <c r="BK48" s="24"/>
      <c r="BL48" s="24">
        <f t="shared" si="57"/>
        <v>2388</v>
      </c>
      <c r="BM48" s="24">
        <f t="shared" si="57"/>
        <v>0</v>
      </c>
      <c r="BN48" s="24"/>
      <c r="BO48" s="24"/>
      <c r="BP48" s="24">
        <f t="shared" si="58"/>
        <v>0</v>
      </c>
      <c r="BQ48" s="24">
        <f t="shared" si="59"/>
        <v>0</v>
      </c>
      <c r="BR48" s="25">
        <f t="shared" si="10"/>
        <v>0.99988060000000001</v>
      </c>
      <c r="BS48" s="24">
        <f t="shared" si="39"/>
        <v>19997612</v>
      </c>
      <c r="BT48" s="24"/>
      <c r="BU48" s="24"/>
      <c r="BV48" s="24"/>
      <c r="BW48" s="24"/>
      <c r="BX48" s="24"/>
      <c r="BY48" s="24"/>
      <c r="BZ48" s="24"/>
      <c r="CA48" s="24"/>
      <c r="CB48" s="24"/>
      <c r="CC48" s="24"/>
      <c r="CD48" s="24"/>
      <c r="CE48" s="24"/>
      <c r="CF48" s="24"/>
      <c r="CG48" s="24"/>
      <c r="CH48" s="24">
        <f>+'[1]SEPTIEMBRE 2016'!$Y$2332</f>
        <v>19997612</v>
      </c>
      <c r="CI48" s="24"/>
      <c r="CJ48" s="24"/>
      <c r="CK48" s="24"/>
      <c r="CL48" s="24"/>
      <c r="CM48" s="24"/>
      <c r="CN48" s="25">
        <f t="shared" si="12"/>
        <v>1.1939999999999173E-4</v>
      </c>
      <c r="CO48" s="24">
        <f t="shared" si="40"/>
        <v>2388</v>
      </c>
      <c r="CP48" s="24">
        <f t="shared" si="49"/>
        <v>0</v>
      </c>
      <c r="CQ48" s="24">
        <f t="shared" si="49"/>
        <v>0</v>
      </c>
      <c r="CR48" s="24">
        <f t="shared" si="49"/>
        <v>0</v>
      </c>
      <c r="CS48" s="24">
        <f t="shared" si="49"/>
        <v>0</v>
      </c>
      <c r="CT48" s="24">
        <f t="shared" si="49"/>
        <v>0</v>
      </c>
      <c r="CU48" s="24">
        <f t="shared" si="49"/>
        <v>0</v>
      </c>
      <c r="CV48" s="24">
        <f t="shared" si="60"/>
        <v>0</v>
      </c>
      <c r="CW48" s="24">
        <f t="shared" si="60"/>
        <v>0</v>
      </c>
      <c r="CX48" s="24">
        <f t="shared" si="60"/>
        <v>0</v>
      </c>
      <c r="CY48" s="24">
        <f t="shared" si="60"/>
        <v>0</v>
      </c>
      <c r="CZ48" s="24">
        <f t="shared" si="60"/>
        <v>0</v>
      </c>
      <c r="DA48" s="24">
        <f t="shared" si="60"/>
        <v>0</v>
      </c>
      <c r="DB48" s="24">
        <f t="shared" si="61"/>
        <v>0</v>
      </c>
      <c r="DC48" s="24">
        <f t="shared" si="61"/>
        <v>2388</v>
      </c>
      <c r="DD48" s="24">
        <f t="shared" si="61"/>
        <v>0</v>
      </c>
      <c r="DE48" s="24"/>
      <c r="DF48" s="24">
        <f t="shared" si="62"/>
        <v>0</v>
      </c>
      <c r="DG48" s="24">
        <f t="shared" ref="DG48:DG59" si="65">Y48-CL48</f>
        <v>0</v>
      </c>
      <c r="DH48" s="24">
        <f t="shared" si="63"/>
        <v>0</v>
      </c>
      <c r="DJ48" s="29">
        <f t="shared" si="54"/>
        <v>20000000</v>
      </c>
      <c r="DK48" s="29">
        <f t="shared" si="20"/>
        <v>20000000</v>
      </c>
      <c r="DL48" s="29">
        <f t="shared" si="21"/>
        <v>20000000</v>
      </c>
    </row>
    <row r="49" spans="1:116" ht="30" x14ac:dyDescent="0.25">
      <c r="A49" s="238"/>
      <c r="B49" s="233"/>
      <c r="C49" s="20" t="s">
        <v>157</v>
      </c>
      <c r="D49" s="21" t="s">
        <v>158</v>
      </c>
      <c r="E49" s="22">
        <v>410</v>
      </c>
      <c r="F49" s="23" t="s">
        <v>91</v>
      </c>
      <c r="G49" s="24">
        <f t="shared" si="34"/>
        <v>13200000</v>
      </c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>
        <v>10000000</v>
      </c>
      <c r="V49" s="24"/>
      <c r="W49" s="24"/>
      <c r="X49" s="24"/>
      <c r="Y49" s="54"/>
      <c r="Z49" s="54">
        <f>3200000</f>
        <v>3200000</v>
      </c>
      <c r="AA49" s="25">
        <f t="shared" si="1"/>
        <v>0.75757575757575757</v>
      </c>
      <c r="AB49" s="24">
        <f t="shared" si="35"/>
        <v>10000000</v>
      </c>
      <c r="AC49" s="24"/>
      <c r="AD49" s="24"/>
      <c r="AE49" s="24"/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  <c r="AQ49" s="24">
        <f>+'[1]SEPTIEMBRE 2016'!$Y$2338</f>
        <v>10000000</v>
      </c>
      <c r="AR49" s="24"/>
      <c r="AS49" s="24"/>
      <c r="AT49" s="24"/>
      <c r="AU49" s="24"/>
      <c r="AV49" s="24"/>
      <c r="AW49" s="25">
        <f t="shared" si="3"/>
        <v>0.24242424242424243</v>
      </c>
      <c r="AX49" s="24">
        <f t="shared" si="36"/>
        <v>3200000</v>
      </c>
      <c r="AY49" s="24">
        <f t="shared" si="46"/>
        <v>0</v>
      </c>
      <c r="AZ49" s="24">
        <f t="shared" si="46"/>
        <v>0</v>
      </c>
      <c r="BA49" s="24">
        <f t="shared" si="46"/>
        <v>0</v>
      </c>
      <c r="BB49" s="24">
        <f t="shared" si="57"/>
        <v>0</v>
      </c>
      <c r="BC49" s="24">
        <f t="shared" si="57"/>
        <v>0</v>
      </c>
      <c r="BD49" s="24">
        <f t="shared" si="57"/>
        <v>0</v>
      </c>
      <c r="BE49" s="24">
        <f t="shared" si="57"/>
        <v>0</v>
      </c>
      <c r="BF49" s="24">
        <f t="shared" si="57"/>
        <v>0</v>
      </c>
      <c r="BG49" s="24">
        <f t="shared" si="64"/>
        <v>0</v>
      </c>
      <c r="BH49" s="24">
        <f t="shared" si="57"/>
        <v>0</v>
      </c>
      <c r="BI49" s="24">
        <f t="shared" si="57"/>
        <v>0</v>
      </c>
      <c r="BJ49" s="24">
        <f t="shared" si="57"/>
        <v>0</v>
      </c>
      <c r="BK49" s="24"/>
      <c r="BL49" s="24">
        <f t="shared" si="57"/>
        <v>0</v>
      </c>
      <c r="BM49" s="24">
        <f t="shared" si="57"/>
        <v>0</v>
      </c>
      <c r="BN49" s="24"/>
      <c r="BO49" s="24"/>
      <c r="BP49" s="24">
        <f t="shared" si="58"/>
        <v>0</v>
      </c>
      <c r="BQ49" s="24">
        <f t="shared" si="59"/>
        <v>3200000</v>
      </c>
      <c r="BR49" s="25">
        <f t="shared" si="10"/>
        <v>0.24087121212121212</v>
      </c>
      <c r="BS49" s="24">
        <f t="shared" si="39"/>
        <v>3179500</v>
      </c>
      <c r="BT49" s="24"/>
      <c r="BU49" s="24"/>
      <c r="BV49" s="24"/>
      <c r="BW49" s="24"/>
      <c r="BX49" s="24"/>
      <c r="BY49" s="24"/>
      <c r="BZ49" s="24"/>
      <c r="CA49" s="24"/>
      <c r="CB49" s="24"/>
      <c r="CC49" s="24"/>
      <c r="CD49" s="24"/>
      <c r="CE49" s="24"/>
      <c r="CF49" s="24"/>
      <c r="CG49" s="24"/>
      <c r="CH49" s="24">
        <f>+'[8]ABRIL 2016'!$H$959</f>
        <v>3179500</v>
      </c>
      <c r="CI49" s="24"/>
      <c r="CJ49" s="24"/>
      <c r="CK49" s="24"/>
      <c r="CL49" s="24"/>
      <c r="CM49" s="24"/>
      <c r="CN49" s="25">
        <f t="shared" si="12"/>
        <v>0.7591287878787879</v>
      </c>
      <c r="CO49" s="24">
        <f t="shared" si="40"/>
        <v>10020500</v>
      </c>
      <c r="CP49" s="24">
        <f t="shared" si="49"/>
        <v>0</v>
      </c>
      <c r="CQ49" s="24">
        <f t="shared" si="49"/>
        <v>0</v>
      </c>
      <c r="CR49" s="24">
        <f t="shared" si="49"/>
        <v>0</v>
      </c>
      <c r="CS49" s="24">
        <f t="shared" si="49"/>
        <v>0</v>
      </c>
      <c r="CT49" s="24">
        <f t="shared" si="49"/>
        <v>0</v>
      </c>
      <c r="CU49" s="24">
        <f t="shared" si="49"/>
        <v>0</v>
      </c>
      <c r="CV49" s="24">
        <f t="shared" si="60"/>
        <v>0</v>
      </c>
      <c r="CW49" s="24">
        <f t="shared" si="60"/>
        <v>0</v>
      </c>
      <c r="CX49" s="24">
        <f t="shared" si="60"/>
        <v>0</v>
      </c>
      <c r="CY49" s="24">
        <f t="shared" si="60"/>
        <v>0</v>
      </c>
      <c r="CZ49" s="24">
        <f t="shared" si="60"/>
        <v>0</v>
      </c>
      <c r="DA49" s="24">
        <f t="shared" si="60"/>
        <v>0</v>
      </c>
      <c r="DB49" s="24">
        <f t="shared" si="61"/>
        <v>0</v>
      </c>
      <c r="DC49" s="24">
        <f t="shared" si="61"/>
        <v>6820500</v>
      </c>
      <c r="DD49" s="24">
        <f t="shared" si="61"/>
        <v>0</v>
      </c>
      <c r="DE49" s="24"/>
      <c r="DF49" s="24">
        <f t="shared" si="62"/>
        <v>0</v>
      </c>
      <c r="DG49" s="24">
        <f t="shared" si="65"/>
        <v>0</v>
      </c>
      <c r="DH49" s="24">
        <f t="shared" si="63"/>
        <v>3200000</v>
      </c>
      <c r="DJ49" s="29">
        <f t="shared" si="54"/>
        <v>13200000</v>
      </c>
      <c r="DK49" s="29">
        <f t="shared" si="20"/>
        <v>13200000</v>
      </c>
      <c r="DL49" s="29">
        <f t="shared" si="21"/>
        <v>13200000</v>
      </c>
    </row>
    <row r="50" spans="1:116" ht="30.75" customHeight="1" x14ac:dyDescent="0.25">
      <c r="A50" s="238" t="s">
        <v>87</v>
      </c>
      <c r="B50" s="231" t="s">
        <v>159</v>
      </c>
      <c r="C50" s="20" t="s">
        <v>160</v>
      </c>
      <c r="D50" s="21" t="s">
        <v>161</v>
      </c>
      <c r="E50" s="22">
        <v>410</v>
      </c>
      <c r="F50" s="23" t="s">
        <v>91</v>
      </c>
      <c r="G50" s="24">
        <f t="shared" si="34"/>
        <v>374741836</v>
      </c>
      <c r="H50" s="24"/>
      <c r="I50" s="24">
        <v>270000000</v>
      </c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54">
        <v>104741836</v>
      </c>
      <c r="Z50" s="54"/>
      <c r="AA50" s="25">
        <f t="shared" si="1"/>
        <v>1</v>
      </c>
      <c r="AB50" s="24">
        <f t="shared" si="35"/>
        <v>374741836</v>
      </c>
      <c r="AC50" s="24"/>
      <c r="AD50" s="24"/>
      <c r="AE50" s="24">
        <f>+'[2]ENERO 2016'!$M$432</f>
        <v>270000000</v>
      </c>
      <c r="AF50" s="24"/>
      <c r="AG50" s="24"/>
      <c r="AH50" s="24"/>
      <c r="AI50" s="24"/>
      <c r="AJ50" s="24"/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>
        <f>+'[4]AGOSTO 2016'!$AF$1980</f>
        <v>104741836</v>
      </c>
      <c r="AV50" s="24"/>
      <c r="AW50" s="25">
        <f t="shared" si="3"/>
        <v>0</v>
      </c>
      <c r="AX50" s="24">
        <f t="shared" si="36"/>
        <v>0</v>
      </c>
      <c r="AY50" s="24">
        <f t="shared" si="46"/>
        <v>0</v>
      </c>
      <c r="AZ50" s="24">
        <f t="shared" si="46"/>
        <v>0</v>
      </c>
      <c r="BA50" s="24">
        <f t="shared" si="46"/>
        <v>0</v>
      </c>
      <c r="BB50" s="24">
        <f t="shared" si="57"/>
        <v>0</v>
      </c>
      <c r="BC50" s="24">
        <f t="shared" si="57"/>
        <v>0</v>
      </c>
      <c r="BD50" s="24">
        <f t="shared" si="57"/>
        <v>0</v>
      </c>
      <c r="BE50" s="24">
        <f t="shared" si="57"/>
        <v>0</v>
      </c>
      <c r="BF50" s="24">
        <f t="shared" si="57"/>
        <v>0</v>
      </c>
      <c r="BG50" s="24">
        <f t="shared" si="64"/>
        <v>0</v>
      </c>
      <c r="BH50" s="24">
        <f t="shared" si="57"/>
        <v>0</v>
      </c>
      <c r="BI50" s="24">
        <f t="shared" si="57"/>
        <v>0</v>
      </c>
      <c r="BJ50" s="24">
        <f t="shared" si="57"/>
        <v>0</v>
      </c>
      <c r="BK50" s="24">
        <f>+T50-AP50</f>
        <v>0</v>
      </c>
      <c r="BL50" s="24">
        <f t="shared" si="57"/>
        <v>0</v>
      </c>
      <c r="BM50" s="24">
        <f t="shared" si="57"/>
        <v>0</v>
      </c>
      <c r="BN50" s="24"/>
      <c r="BO50" s="24"/>
      <c r="BP50" s="24">
        <f t="shared" si="58"/>
        <v>0</v>
      </c>
      <c r="BQ50" s="24">
        <f t="shared" si="59"/>
        <v>0</v>
      </c>
      <c r="BR50" s="25">
        <f t="shared" si="10"/>
        <v>0.75724210840446438</v>
      </c>
      <c r="BS50" s="24">
        <f t="shared" si="39"/>
        <v>283770298</v>
      </c>
      <c r="BT50" s="24"/>
      <c r="BU50" s="24"/>
      <c r="BV50" s="24">
        <f>+'[2]ENERO 2016'!$H$430</f>
        <v>270000000</v>
      </c>
      <c r="BW50" s="24"/>
      <c r="BX50" s="24"/>
      <c r="BY50" s="24"/>
      <c r="BZ50" s="24"/>
      <c r="CA50" s="24"/>
      <c r="CB50" s="24"/>
      <c r="CC50" s="24"/>
      <c r="CD50" s="24"/>
      <c r="CE50" s="24"/>
      <c r="CF50" s="24"/>
      <c r="CG50" s="24"/>
      <c r="CH50" s="24"/>
      <c r="CI50" s="24"/>
      <c r="CJ50" s="24"/>
      <c r="CK50" s="24"/>
      <c r="CL50" s="24">
        <f>+'[8]ABRIL 2016'!$H$975+'[7]MAYO 2016'!$AF$1142</f>
        <v>13770298</v>
      </c>
      <c r="CM50" s="24"/>
      <c r="CN50" s="25">
        <f t="shared" si="12"/>
        <v>0.24275789159553562</v>
      </c>
      <c r="CO50" s="24">
        <f t="shared" si="40"/>
        <v>90971538</v>
      </c>
      <c r="CP50" s="24">
        <f t="shared" si="49"/>
        <v>0</v>
      </c>
      <c r="CQ50" s="24">
        <f t="shared" si="49"/>
        <v>0</v>
      </c>
      <c r="CR50" s="24">
        <f t="shared" si="49"/>
        <v>0</v>
      </c>
      <c r="CS50" s="24">
        <f t="shared" si="49"/>
        <v>0</v>
      </c>
      <c r="CT50" s="24">
        <f t="shared" si="49"/>
        <v>0</v>
      </c>
      <c r="CU50" s="24">
        <f t="shared" si="49"/>
        <v>0</v>
      </c>
      <c r="CV50" s="24">
        <f t="shared" si="60"/>
        <v>0</v>
      </c>
      <c r="CW50" s="24">
        <f t="shared" si="60"/>
        <v>0</v>
      </c>
      <c r="CX50" s="24">
        <f t="shared" si="60"/>
        <v>0</v>
      </c>
      <c r="CY50" s="24">
        <f t="shared" ref="CY50:DA59" si="66">Q50-CD50</f>
        <v>0</v>
      </c>
      <c r="CZ50" s="24">
        <f t="shared" si="66"/>
        <v>0</v>
      </c>
      <c r="DA50" s="24">
        <f t="shared" si="66"/>
        <v>0</v>
      </c>
      <c r="DB50" s="24">
        <f t="shared" si="61"/>
        <v>0</v>
      </c>
      <c r="DC50" s="24">
        <f t="shared" si="61"/>
        <v>0</v>
      </c>
      <c r="DD50" s="24">
        <f t="shared" si="61"/>
        <v>0</v>
      </c>
      <c r="DE50" s="24"/>
      <c r="DF50" s="24">
        <f t="shared" si="62"/>
        <v>0</v>
      </c>
      <c r="DG50" s="24">
        <f t="shared" si="65"/>
        <v>90971538</v>
      </c>
      <c r="DH50" s="24">
        <f t="shared" si="63"/>
        <v>0</v>
      </c>
      <c r="DJ50" s="29">
        <f t="shared" si="54"/>
        <v>374741836</v>
      </c>
      <c r="DK50" s="29">
        <f t="shared" si="20"/>
        <v>374741836</v>
      </c>
      <c r="DL50" s="29">
        <f t="shared" si="21"/>
        <v>374741836</v>
      </c>
    </row>
    <row r="51" spans="1:116" s="58" customFormat="1" ht="35.25" customHeight="1" x14ac:dyDescent="0.25">
      <c r="A51" s="238"/>
      <c r="B51" s="233"/>
      <c r="C51" s="55" t="s">
        <v>162</v>
      </c>
      <c r="D51" s="21" t="s">
        <v>163</v>
      </c>
      <c r="E51" s="22">
        <v>410</v>
      </c>
      <c r="F51" s="23" t="s">
        <v>91</v>
      </c>
      <c r="G51" s="24">
        <f t="shared" si="34"/>
        <v>30000000</v>
      </c>
      <c r="H51" s="56"/>
      <c r="I51" s="54">
        <v>30000000</v>
      </c>
      <c r="J51" s="54"/>
      <c r="K51" s="56"/>
      <c r="L51" s="54"/>
      <c r="M51" s="54"/>
      <c r="N51" s="54"/>
      <c r="O51" s="54"/>
      <c r="P51" s="54"/>
      <c r="Q51" s="54"/>
      <c r="R51" s="54"/>
      <c r="S51" s="54"/>
      <c r="T51" s="54"/>
      <c r="U51" s="54"/>
      <c r="V51" s="54"/>
      <c r="W51" s="54"/>
      <c r="X51" s="54"/>
      <c r="Y51" s="54"/>
      <c r="Z51" s="54"/>
      <c r="AA51" s="57">
        <f t="shared" si="1"/>
        <v>1</v>
      </c>
      <c r="AB51" s="24">
        <f t="shared" si="35"/>
        <v>30000000</v>
      </c>
      <c r="AC51" s="54"/>
      <c r="AD51" s="54"/>
      <c r="AE51" s="54">
        <f>+'[5]JULIO 2016'!$M$1444</f>
        <v>30000000</v>
      </c>
      <c r="AF51" s="54"/>
      <c r="AG51" s="54"/>
      <c r="AH51" s="54"/>
      <c r="AI51" s="54"/>
      <c r="AJ51" s="54"/>
      <c r="AK51" s="54"/>
      <c r="AL51" s="54"/>
      <c r="AM51" s="54"/>
      <c r="AN51" s="54"/>
      <c r="AO51" s="54"/>
      <c r="AP51" s="54"/>
      <c r="AQ51" s="54"/>
      <c r="AR51" s="54"/>
      <c r="AS51" s="54"/>
      <c r="AT51" s="54"/>
      <c r="AU51" s="54"/>
      <c r="AV51" s="54"/>
      <c r="AW51" s="57">
        <f t="shared" si="3"/>
        <v>0</v>
      </c>
      <c r="AX51" s="24">
        <f t="shared" si="36"/>
        <v>0</v>
      </c>
      <c r="AY51" s="24">
        <f t="shared" si="46"/>
        <v>0</v>
      </c>
      <c r="AZ51" s="24">
        <f t="shared" si="46"/>
        <v>0</v>
      </c>
      <c r="BA51" s="24">
        <f t="shared" si="46"/>
        <v>0</v>
      </c>
      <c r="BB51" s="24">
        <f t="shared" si="57"/>
        <v>0</v>
      </c>
      <c r="BC51" s="24">
        <f t="shared" si="57"/>
        <v>0</v>
      </c>
      <c r="BD51" s="24">
        <f t="shared" si="57"/>
        <v>0</v>
      </c>
      <c r="BE51" s="24">
        <f t="shared" si="57"/>
        <v>0</v>
      </c>
      <c r="BF51" s="24">
        <f t="shared" si="57"/>
        <v>0</v>
      </c>
      <c r="BG51" s="24">
        <f t="shared" si="64"/>
        <v>0</v>
      </c>
      <c r="BH51" s="24">
        <f t="shared" si="57"/>
        <v>0</v>
      </c>
      <c r="BI51" s="24">
        <f t="shared" si="57"/>
        <v>0</v>
      </c>
      <c r="BJ51" s="24">
        <f t="shared" si="57"/>
        <v>0</v>
      </c>
      <c r="BK51" s="54"/>
      <c r="BL51" s="24">
        <f t="shared" si="57"/>
        <v>0</v>
      </c>
      <c r="BM51" s="24">
        <f t="shared" si="57"/>
        <v>0</v>
      </c>
      <c r="BN51" s="24"/>
      <c r="BO51" s="54"/>
      <c r="BP51" s="24">
        <f t="shared" si="58"/>
        <v>0</v>
      </c>
      <c r="BQ51" s="54">
        <f t="shared" si="59"/>
        <v>0</v>
      </c>
      <c r="BR51" s="57">
        <f t="shared" si="10"/>
        <v>1</v>
      </c>
      <c r="BS51" s="24">
        <f t="shared" si="39"/>
        <v>30000000</v>
      </c>
      <c r="BT51" s="54"/>
      <c r="BU51" s="54"/>
      <c r="BV51" s="54">
        <f>+'[4]AGOSTO 2016'!$H$1989</f>
        <v>30000000</v>
      </c>
      <c r="BW51" s="54"/>
      <c r="BX51" s="54"/>
      <c r="BY51" s="54"/>
      <c r="BZ51" s="54"/>
      <c r="CA51" s="54"/>
      <c r="CB51" s="54"/>
      <c r="CC51" s="54"/>
      <c r="CD51" s="54"/>
      <c r="CE51" s="54"/>
      <c r="CF51" s="54"/>
      <c r="CG51" s="54"/>
      <c r="CH51" s="54"/>
      <c r="CI51" s="54"/>
      <c r="CJ51" s="54"/>
      <c r="CK51" s="54"/>
      <c r="CL51" s="54"/>
      <c r="CM51" s="54"/>
      <c r="CN51" s="57">
        <f t="shared" si="12"/>
        <v>0</v>
      </c>
      <c r="CO51" s="24">
        <f t="shared" si="40"/>
        <v>0</v>
      </c>
      <c r="CP51" s="24">
        <f t="shared" si="49"/>
        <v>0</v>
      </c>
      <c r="CQ51" s="24">
        <f t="shared" si="49"/>
        <v>0</v>
      </c>
      <c r="CR51" s="24">
        <f t="shared" si="49"/>
        <v>0</v>
      </c>
      <c r="CS51" s="24">
        <f t="shared" si="49"/>
        <v>0</v>
      </c>
      <c r="CT51" s="24">
        <f t="shared" si="49"/>
        <v>0</v>
      </c>
      <c r="CU51" s="24">
        <f t="shared" si="49"/>
        <v>0</v>
      </c>
      <c r="CV51" s="24">
        <f>N51-CA51</f>
        <v>0</v>
      </c>
      <c r="CW51" s="24">
        <f>O51-CB51</f>
        <v>0</v>
      </c>
      <c r="CX51" s="24">
        <f>P51-CC51</f>
        <v>0</v>
      </c>
      <c r="CY51" s="24">
        <f t="shared" si="66"/>
        <v>0</v>
      </c>
      <c r="CZ51" s="24">
        <f t="shared" si="66"/>
        <v>0</v>
      </c>
      <c r="DA51" s="24">
        <f t="shared" si="66"/>
        <v>0</v>
      </c>
      <c r="DB51" s="24">
        <f>T51-CG51</f>
        <v>0</v>
      </c>
      <c r="DC51" s="24">
        <f>U51-CH51</f>
        <v>0</v>
      </c>
      <c r="DD51" s="24">
        <f>V51-CI51</f>
        <v>0</v>
      </c>
      <c r="DE51" s="24"/>
      <c r="DF51" s="24">
        <f>X51-CK51</f>
        <v>0</v>
      </c>
      <c r="DG51" s="24">
        <f t="shared" si="65"/>
        <v>0</v>
      </c>
      <c r="DH51" s="24">
        <f>Z51-CM51</f>
        <v>0</v>
      </c>
      <c r="DJ51" s="29">
        <f t="shared" si="54"/>
        <v>30000000</v>
      </c>
      <c r="DK51" s="29">
        <f t="shared" si="20"/>
        <v>30000000</v>
      </c>
      <c r="DL51" s="29">
        <f t="shared" si="21"/>
        <v>30000000</v>
      </c>
    </row>
    <row r="52" spans="1:116" ht="46.5" customHeight="1" x14ac:dyDescent="0.25">
      <c r="A52" s="238"/>
      <c r="B52" s="231" t="s">
        <v>164</v>
      </c>
      <c r="C52" s="20" t="s">
        <v>165</v>
      </c>
      <c r="D52" s="21" t="s">
        <v>166</v>
      </c>
      <c r="E52" s="22">
        <v>410</v>
      </c>
      <c r="F52" s="23" t="s">
        <v>91</v>
      </c>
      <c r="G52" s="24">
        <f t="shared" si="34"/>
        <v>90000000</v>
      </c>
      <c r="H52" s="45"/>
      <c r="I52" s="24">
        <f>21264791</f>
        <v>21264791</v>
      </c>
      <c r="J52" s="24"/>
      <c r="K52" s="45"/>
      <c r="L52" s="33"/>
      <c r="M52" s="33"/>
      <c r="N52" s="33"/>
      <c r="O52" s="24"/>
      <c r="P52" s="24"/>
      <c r="Q52" s="24"/>
      <c r="R52" s="24"/>
      <c r="S52" s="24"/>
      <c r="T52" s="24"/>
      <c r="U52" s="24">
        <f>90000000-21264791</f>
        <v>68735209</v>
      </c>
      <c r="V52" s="24"/>
      <c r="W52" s="24"/>
      <c r="X52" s="24"/>
      <c r="Y52" s="24"/>
      <c r="Z52" s="24"/>
      <c r="AA52" s="25">
        <f t="shared" si="1"/>
        <v>0.99282323333333333</v>
      </c>
      <c r="AB52" s="24">
        <f t="shared" si="35"/>
        <v>89354091</v>
      </c>
      <c r="AC52" s="24"/>
      <c r="AD52" s="24"/>
      <c r="AE52" s="24">
        <f>+'[4]AGOSTO 2016'!$M$2000</f>
        <v>21264791</v>
      </c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>
        <f>+'[1]SEPTIEMBRE 2016'!$Y$2370</f>
        <v>68089300</v>
      </c>
      <c r="AR52" s="24"/>
      <c r="AS52" s="24"/>
      <c r="AT52" s="24"/>
      <c r="AU52" s="24"/>
      <c r="AV52" s="24"/>
      <c r="AW52" s="25">
        <f t="shared" si="3"/>
        <v>7.1767666666666674E-3</v>
      </c>
      <c r="AX52" s="24">
        <f t="shared" si="36"/>
        <v>645909</v>
      </c>
      <c r="AY52" s="24">
        <f t="shared" si="46"/>
        <v>0</v>
      </c>
      <c r="AZ52" s="24">
        <f t="shared" si="46"/>
        <v>0</v>
      </c>
      <c r="BA52" s="24">
        <f t="shared" si="46"/>
        <v>0</v>
      </c>
      <c r="BB52" s="24">
        <f t="shared" si="57"/>
        <v>0</v>
      </c>
      <c r="BC52" s="24">
        <f t="shared" si="57"/>
        <v>0</v>
      </c>
      <c r="BD52" s="24">
        <f t="shared" si="57"/>
        <v>0</v>
      </c>
      <c r="BE52" s="24">
        <f t="shared" si="57"/>
        <v>0</v>
      </c>
      <c r="BF52" s="24">
        <f t="shared" si="57"/>
        <v>0</v>
      </c>
      <c r="BG52" s="24">
        <f t="shared" si="64"/>
        <v>0</v>
      </c>
      <c r="BH52" s="24">
        <f t="shared" si="57"/>
        <v>0</v>
      </c>
      <c r="BI52" s="24">
        <f t="shared" si="57"/>
        <v>0</v>
      </c>
      <c r="BJ52" s="24">
        <f t="shared" si="57"/>
        <v>0</v>
      </c>
      <c r="BK52" s="24">
        <f>+T52-AP52</f>
        <v>0</v>
      </c>
      <c r="BL52" s="24">
        <f t="shared" si="57"/>
        <v>645909</v>
      </c>
      <c r="BM52" s="24">
        <f t="shared" si="57"/>
        <v>0</v>
      </c>
      <c r="BN52" s="24"/>
      <c r="BO52" s="24"/>
      <c r="BP52" s="24">
        <f t="shared" si="58"/>
        <v>0</v>
      </c>
      <c r="BQ52" s="24">
        <f t="shared" si="59"/>
        <v>0</v>
      </c>
      <c r="BR52" s="25">
        <f t="shared" si="10"/>
        <v>0.83634731111111116</v>
      </c>
      <c r="BS52" s="24">
        <f t="shared" si="39"/>
        <v>75271258</v>
      </c>
      <c r="BT52" s="24"/>
      <c r="BU52" s="24"/>
      <c r="BV52" s="24">
        <f>+'[1]SEPTIEMBRE 2016'!$H$2382</f>
        <v>9219791</v>
      </c>
      <c r="BW52" s="24"/>
      <c r="BX52" s="24"/>
      <c r="BY52" s="24"/>
      <c r="BZ52" s="24"/>
      <c r="CA52" s="24"/>
      <c r="CB52" s="24"/>
      <c r="CC52" s="24"/>
      <c r="CD52" s="24"/>
      <c r="CE52" s="24"/>
      <c r="CF52" s="24"/>
      <c r="CG52" s="24"/>
      <c r="CH52" s="24">
        <f>+'[1]SEPTIEMBRE 2016'!$H$2368-BV52</f>
        <v>66051467</v>
      </c>
      <c r="CI52" s="24"/>
      <c r="CJ52" s="24"/>
      <c r="CK52" s="24"/>
      <c r="CL52" s="24"/>
      <c r="CM52" s="24"/>
      <c r="CN52" s="25">
        <f t="shared" si="12"/>
        <v>0.16365268888888884</v>
      </c>
      <c r="CO52" s="24">
        <f t="shared" si="40"/>
        <v>14728742</v>
      </c>
      <c r="CP52" s="24">
        <f t="shared" si="49"/>
        <v>0</v>
      </c>
      <c r="CQ52" s="24">
        <f t="shared" si="49"/>
        <v>12045000</v>
      </c>
      <c r="CR52" s="24">
        <f t="shared" si="49"/>
        <v>0</v>
      </c>
      <c r="CS52" s="24">
        <f t="shared" si="49"/>
        <v>0</v>
      </c>
      <c r="CT52" s="24">
        <f t="shared" si="49"/>
        <v>0</v>
      </c>
      <c r="CU52" s="24">
        <f t="shared" si="49"/>
        <v>0</v>
      </c>
      <c r="CV52" s="24">
        <f>+N52-CA52</f>
        <v>0</v>
      </c>
      <c r="CW52" s="24">
        <f>+O52-CB52</f>
        <v>0</v>
      </c>
      <c r="CX52" s="24">
        <f>+P52-CC52</f>
        <v>0</v>
      </c>
      <c r="CY52" s="24">
        <f t="shared" si="66"/>
        <v>0</v>
      </c>
      <c r="CZ52" s="24">
        <f t="shared" si="66"/>
        <v>0</v>
      </c>
      <c r="DA52" s="24">
        <f t="shared" si="66"/>
        <v>0</v>
      </c>
      <c r="DB52" s="24">
        <f>+T52-CG52</f>
        <v>0</v>
      </c>
      <c r="DC52" s="24">
        <f>+U52-CH52</f>
        <v>2683742</v>
      </c>
      <c r="DD52" s="24">
        <f>+V52-CI52</f>
        <v>0</v>
      </c>
      <c r="DE52" s="24"/>
      <c r="DF52" s="24">
        <f>+X52-CK52</f>
        <v>0</v>
      </c>
      <c r="DG52" s="24">
        <f t="shared" si="65"/>
        <v>0</v>
      </c>
      <c r="DH52" s="24">
        <f>+Z52-CM52</f>
        <v>0</v>
      </c>
      <c r="DI52" s="43"/>
      <c r="DJ52" s="29">
        <f t="shared" si="54"/>
        <v>90000000</v>
      </c>
      <c r="DK52" s="29">
        <f t="shared" si="20"/>
        <v>90000000</v>
      </c>
      <c r="DL52" s="29">
        <f t="shared" si="21"/>
        <v>90000000</v>
      </c>
    </row>
    <row r="53" spans="1:116" ht="21.75" customHeight="1" x14ac:dyDescent="0.25">
      <c r="A53" s="238"/>
      <c r="B53" s="233"/>
      <c r="C53" s="20" t="s">
        <v>167</v>
      </c>
      <c r="D53" s="21" t="s">
        <v>116</v>
      </c>
      <c r="E53" s="22">
        <v>410</v>
      </c>
      <c r="F53" s="23" t="s">
        <v>76</v>
      </c>
      <c r="G53" s="24">
        <f t="shared" si="34"/>
        <v>5060373</v>
      </c>
      <c r="H53" s="45"/>
      <c r="I53" s="24"/>
      <c r="J53" s="24"/>
      <c r="K53" s="45"/>
      <c r="L53" s="33"/>
      <c r="M53" s="33"/>
      <c r="N53" s="33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>
        <f>3000000+2060373</f>
        <v>5060373</v>
      </c>
      <c r="AA53" s="25">
        <f t="shared" si="1"/>
        <v>0.86276327851721601</v>
      </c>
      <c r="AB53" s="24">
        <f t="shared" si="35"/>
        <v>4365904</v>
      </c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>
        <f>+'[1]SEPTIEMBRE 2016'!$AG$2392</f>
        <v>4365904</v>
      </c>
      <c r="AW53" s="25">
        <f t="shared" si="3"/>
        <v>0.13723672148278399</v>
      </c>
      <c r="AX53" s="24">
        <f t="shared" si="36"/>
        <v>694469</v>
      </c>
      <c r="AY53" s="24">
        <f t="shared" si="46"/>
        <v>0</v>
      </c>
      <c r="AZ53" s="24">
        <f t="shared" si="46"/>
        <v>0</v>
      </c>
      <c r="BA53" s="24">
        <f t="shared" si="46"/>
        <v>0</v>
      </c>
      <c r="BB53" s="24">
        <f t="shared" si="57"/>
        <v>0</v>
      </c>
      <c r="BC53" s="24">
        <f t="shared" si="57"/>
        <v>0</v>
      </c>
      <c r="BD53" s="24">
        <f t="shared" si="57"/>
        <v>0</v>
      </c>
      <c r="BE53" s="24">
        <f t="shared" si="57"/>
        <v>0</v>
      </c>
      <c r="BF53" s="24">
        <f t="shared" si="57"/>
        <v>0</v>
      </c>
      <c r="BG53" s="24">
        <f t="shared" si="64"/>
        <v>0</v>
      </c>
      <c r="BH53" s="24">
        <f t="shared" si="57"/>
        <v>0</v>
      </c>
      <c r="BI53" s="24">
        <f t="shared" si="57"/>
        <v>0</v>
      </c>
      <c r="BJ53" s="24">
        <f t="shared" si="57"/>
        <v>0</v>
      </c>
      <c r="BK53" s="24"/>
      <c r="BL53" s="24">
        <f t="shared" si="57"/>
        <v>0</v>
      </c>
      <c r="BM53" s="24">
        <f t="shared" si="57"/>
        <v>0</v>
      </c>
      <c r="BN53" s="24"/>
      <c r="BO53" s="24"/>
      <c r="BP53" s="24">
        <f t="shared" si="58"/>
        <v>0</v>
      </c>
      <c r="BQ53" s="24">
        <f t="shared" si="59"/>
        <v>694469</v>
      </c>
      <c r="BR53" s="25">
        <f t="shared" si="10"/>
        <v>0.86276327851721601</v>
      </c>
      <c r="BS53" s="24">
        <f t="shared" si="39"/>
        <v>4365904</v>
      </c>
      <c r="BT53" s="24"/>
      <c r="BU53" s="24"/>
      <c r="BV53" s="24"/>
      <c r="BW53" s="24"/>
      <c r="BX53" s="24"/>
      <c r="BY53" s="24"/>
      <c r="BZ53" s="24"/>
      <c r="CA53" s="24"/>
      <c r="CB53" s="24"/>
      <c r="CC53" s="24"/>
      <c r="CD53" s="24"/>
      <c r="CE53" s="24"/>
      <c r="CF53" s="24"/>
      <c r="CG53" s="24"/>
      <c r="CH53" s="24"/>
      <c r="CI53" s="24"/>
      <c r="CJ53" s="24"/>
      <c r="CK53" s="24"/>
      <c r="CL53" s="24"/>
      <c r="CM53" s="24">
        <f>+'[1]SEPTIEMBRE 2016'!$H$2390</f>
        <v>4365904</v>
      </c>
      <c r="CN53" s="25">
        <f t="shared" si="12"/>
        <v>0.13723672148278399</v>
      </c>
      <c r="CO53" s="24">
        <f t="shared" si="40"/>
        <v>694469</v>
      </c>
      <c r="CP53" s="24">
        <f t="shared" si="49"/>
        <v>0</v>
      </c>
      <c r="CQ53" s="24">
        <f t="shared" si="49"/>
        <v>0</v>
      </c>
      <c r="CR53" s="24">
        <f t="shared" si="49"/>
        <v>0</v>
      </c>
      <c r="CS53" s="24">
        <f t="shared" si="49"/>
        <v>0</v>
      </c>
      <c r="CT53" s="24">
        <f t="shared" si="49"/>
        <v>0</v>
      </c>
      <c r="CU53" s="24">
        <f t="shared" si="49"/>
        <v>0</v>
      </c>
      <c r="CV53" s="24">
        <f>N53-CA53</f>
        <v>0</v>
      </c>
      <c r="CW53" s="24">
        <f>O53-CB53</f>
        <v>0</v>
      </c>
      <c r="CX53" s="24">
        <f>P53-CC53</f>
        <v>0</v>
      </c>
      <c r="CY53" s="24">
        <f t="shared" si="66"/>
        <v>0</v>
      </c>
      <c r="CZ53" s="24">
        <f t="shared" si="66"/>
        <v>0</v>
      </c>
      <c r="DA53" s="24">
        <f t="shared" si="66"/>
        <v>0</v>
      </c>
      <c r="DB53" s="24">
        <f>T53-CG53</f>
        <v>0</v>
      </c>
      <c r="DC53" s="24">
        <f>U53-CH53</f>
        <v>0</v>
      </c>
      <c r="DD53" s="24">
        <f>V53-CI53</f>
        <v>0</v>
      </c>
      <c r="DE53" s="24"/>
      <c r="DF53" s="24">
        <f>X53-CK53</f>
        <v>0</v>
      </c>
      <c r="DG53" s="24">
        <f t="shared" si="65"/>
        <v>0</v>
      </c>
      <c r="DH53" s="24">
        <f>Z53-CM53</f>
        <v>694469</v>
      </c>
      <c r="DI53" s="43"/>
      <c r="DJ53" s="29">
        <f t="shared" si="54"/>
        <v>5060373</v>
      </c>
      <c r="DK53" s="29">
        <f t="shared" si="20"/>
        <v>5060373</v>
      </c>
      <c r="DL53" s="29">
        <f t="shared" si="21"/>
        <v>5060373</v>
      </c>
    </row>
    <row r="54" spans="1:116" ht="51.75" customHeight="1" x14ac:dyDescent="0.25">
      <c r="A54" s="238"/>
      <c r="B54" s="231" t="s">
        <v>168</v>
      </c>
      <c r="C54" s="20" t="s">
        <v>169</v>
      </c>
      <c r="D54" s="21" t="s">
        <v>170</v>
      </c>
      <c r="E54" s="22">
        <v>410</v>
      </c>
      <c r="F54" s="23" t="s">
        <v>171</v>
      </c>
      <c r="G54" s="24">
        <f t="shared" si="34"/>
        <v>42000000</v>
      </c>
      <c r="H54" s="33"/>
      <c r="I54" s="24">
        <v>30000000</v>
      </c>
      <c r="J54" s="24"/>
      <c r="K54" s="33"/>
      <c r="L54" s="33"/>
      <c r="M54" s="33"/>
      <c r="N54" s="33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>
        <f>22000000+5000000-16000000+1000000</f>
        <v>12000000</v>
      </c>
      <c r="AA54" s="25">
        <f t="shared" si="1"/>
        <v>1</v>
      </c>
      <c r="AB54" s="24">
        <f t="shared" si="35"/>
        <v>42000000</v>
      </c>
      <c r="AC54" s="24"/>
      <c r="AD54" s="24"/>
      <c r="AE54" s="24">
        <v>30000000</v>
      </c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>
        <f>+'[4]AGOSTO 2016'!$AG$2028</f>
        <v>12000000</v>
      </c>
      <c r="AW54" s="25">
        <f t="shared" si="3"/>
        <v>0</v>
      </c>
      <c r="AX54" s="24">
        <f t="shared" si="36"/>
        <v>0</v>
      </c>
      <c r="AY54" s="24">
        <f t="shared" si="46"/>
        <v>0</v>
      </c>
      <c r="AZ54" s="24">
        <f t="shared" si="46"/>
        <v>0</v>
      </c>
      <c r="BA54" s="24">
        <f t="shared" si="46"/>
        <v>0</v>
      </c>
      <c r="BB54" s="24">
        <f t="shared" si="57"/>
        <v>0</v>
      </c>
      <c r="BC54" s="24">
        <f t="shared" si="57"/>
        <v>0</v>
      </c>
      <c r="BD54" s="24">
        <f t="shared" si="57"/>
        <v>0</v>
      </c>
      <c r="BE54" s="24">
        <f t="shared" si="57"/>
        <v>0</v>
      </c>
      <c r="BF54" s="24">
        <f t="shared" si="57"/>
        <v>0</v>
      </c>
      <c r="BG54" s="24">
        <f t="shared" si="64"/>
        <v>0</v>
      </c>
      <c r="BH54" s="24">
        <f t="shared" si="57"/>
        <v>0</v>
      </c>
      <c r="BI54" s="24">
        <f t="shared" si="57"/>
        <v>0</v>
      </c>
      <c r="BJ54" s="24">
        <f t="shared" si="57"/>
        <v>0</v>
      </c>
      <c r="BK54" s="24">
        <f t="shared" si="57"/>
        <v>0</v>
      </c>
      <c r="BL54" s="24">
        <f t="shared" si="57"/>
        <v>0</v>
      </c>
      <c r="BM54" s="24">
        <f t="shared" si="57"/>
        <v>0</v>
      </c>
      <c r="BN54" s="24"/>
      <c r="BO54" s="24"/>
      <c r="BP54" s="24">
        <f t="shared" si="58"/>
        <v>0</v>
      </c>
      <c r="BQ54" s="24">
        <f t="shared" si="59"/>
        <v>0</v>
      </c>
      <c r="BR54" s="25">
        <f t="shared" si="10"/>
        <v>0.99857790476190478</v>
      </c>
      <c r="BS54" s="24">
        <f t="shared" si="39"/>
        <v>41940272</v>
      </c>
      <c r="BT54" s="24"/>
      <c r="BU54" s="24"/>
      <c r="BV54" s="24">
        <f>+'[1]SEPTIEMBRE 2016'!$H$2409</f>
        <v>29940272</v>
      </c>
      <c r="BW54" s="24"/>
      <c r="BX54" s="24"/>
      <c r="BY54" s="24"/>
      <c r="BZ54" s="24"/>
      <c r="CA54" s="24"/>
      <c r="CB54" s="24"/>
      <c r="CC54" s="24"/>
      <c r="CD54" s="24"/>
      <c r="CE54" s="24"/>
      <c r="CF54" s="24"/>
      <c r="CG54" s="24"/>
      <c r="CH54" s="24"/>
      <c r="CI54" s="24"/>
      <c r="CJ54" s="24"/>
      <c r="CK54" s="24"/>
      <c r="CL54" s="24"/>
      <c r="CM54" s="24">
        <f>+'[1]SEPTIEMBRE 2016'!$H$2462+'[1]SEPTIEMBRE 2016'!$H$2464+'[1]SEPTIEMBRE 2016'!$H$2466+'[1]SEPTIEMBRE 2016'!$H$2407</f>
        <v>12000000</v>
      </c>
      <c r="CN54" s="25">
        <f t="shared" si="12"/>
        <v>1.4220952380952223E-3</v>
      </c>
      <c r="CO54" s="24">
        <f t="shared" si="40"/>
        <v>59728</v>
      </c>
      <c r="CP54" s="24">
        <f t="shared" si="49"/>
        <v>0</v>
      </c>
      <c r="CQ54" s="24">
        <f t="shared" si="49"/>
        <v>59728</v>
      </c>
      <c r="CR54" s="24">
        <f t="shared" si="49"/>
        <v>0</v>
      </c>
      <c r="CS54" s="24">
        <f t="shared" si="49"/>
        <v>0</v>
      </c>
      <c r="CT54" s="24">
        <f t="shared" si="49"/>
        <v>0</v>
      </c>
      <c r="CU54" s="24">
        <f t="shared" si="49"/>
        <v>0</v>
      </c>
      <c r="CV54" s="24">
        <f t="shared" ref="CV54:CW59" si="67">+N54-CA54</f>
        <v>0</v>
      </c>
      <c r="CW54" s="24">
        <f t="shared" si="67"/>
        <v>0</v>
      </c>
      <c r="CX54" s="24">
        <f t="shared" ref="CX54:CX59" si="68">P54-CC54</f>
        <v>0</v>
      </c>
      <c r="CY54" s="24">
        <f t="shared" si="66"/>
        <v>0</v>
      </c>
      <c r="CZ54" s="24">
        <f t="shared" si="66"/>
        <v>0</v>
      </c>
      <c r="DA54" s="24">
        <f t="shared" si="66"/>
        <v>0</v>
      </c>
      <c r="DB54" s="24">
        <f t="shared" ref="DB54:DD59" si="69">+T54-CG54</f>
        <v>0</v>
      </c>
      <c r="DC54" s="24">
        <f t="shared" si="69"/>
        <v>0</v>
      </c>
      <c r="DD54" s="24">
        <f t="shared" si="69"/>
        <v>0</v>
      </c>
      <c r="DE54" s="24"/>
      <c r="DF54" s="24">
        <f t="shared" ref="DF54:DF59" si="70">+X54-CK54</f>
        <v>0</v>
      </c>
      <c r="DG54" s="24">
        <f t="shared" si="65"/>
        <v>0</v>
      </c>
      <c r="DH54" s="24">
        <f t="shared" ref="DH54:DH59" si="71">+Z54-CM54</f>
        <v>0</v>
      </c>
      <c r="DJ54" s="29">
        <f t="shared" si="54"/>
        <v>42000000</v>
      </c>
      <c r="DK54" s="29">
        <f t="shared" si="20"/>
        <v>42000000</v>
      </c>
      <c r="DL54" s="29">
        <f t="shared" si="21"/>
        <v>42000000</v>
      </c>
    </row>
    <row r="55" spans="1:116" ht="54" customHeight="1" x14ac:dyDescent="0.25">
      <c r="A55" s="238"/>
      <c r="B55" s="232"/>
      <c r="C55" s="20" t="s">
        <v>172</v>
      </c>
      <c r="D55" s="21" t="s">
        <v>173</v>
      </c>
      <c r="E55" s="22">
        <v>410</v>
      </c>
      <c r="F55" s="23" t="s">
        <v>91</v>
      </c>
      <c r="G55" s="24">
        <f t="shared" si="34"/>
        <v>10000000</v>
      </c>
      <c r="H55" s="33"/>
      <c r="I55" s="24"/>
      <c r="J55" s="24"/>
      <c r="K55" s="33"/>
      <c r="L55" s="33"/>
      <c r="M55" s="33"/>
      <c r="N55" s="33"/>
      <c r="O55" s="24"/>
      <c r="P55" s="24"/>
      <c r="Q55" s="24"/>
      <c r="R55" s="24"/>
      <c r="S55" s="24"/>
      <c r="T55" s="24"/>
      <c r="U55" s="24">
        <v>10000000</v>
      </c>
      <c r="V55" s="24"/>
      <c r="W55" s="24"/>
      <c r="X55" s="24"/>
      <c r="Y55" s="24"/>
      <c r="Z55" s="24"/>
      <c r="AA55" s="25">
        <f t="shared" si="1"/>
        <v>1</v>
      </c>
      <c r="AB55" s="24">
        <f t="shared" si="35"/>
        <v>10000000</v>
      </c>
      <c r="AC55" s="24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4"/>
      <c r="AO55" s="24"/>
      <c r="AP55" s="24"/>
      <c r="AQ55" s="24">
        <v>10000000</v>
      </c>
      <c r="AR55" s="24"/>
      <c r="AS55" s="24"/>
      <c r="AT55" s="24"/>
      <c r="AU55" s="24"/>
      <c r="AV55" s="24"/>
      <c r="AW55" s="25">
        <f t="shared" si="3"/>
        <v>0</v>
      </c>
      <c r="AX55" s="24">
        <f t="shared" si="36"/>
        <v>0</v>
      </c>
      <c r="AY55" s="24">
        <f t="shared" si="46"/>
        <v>0</v>
      </c>
      <c r="AZ55" s="24">
        <f t="shared" si="46"/>
        <v>0</v>
      </c>
      <c r="BA55" s="24">
        <f t="shared" si="46"/>
        <v>0</v>
      </c>
      <c r="BB55" s="24">
        <f t="shared" ref="BB55:BF59" si="72">+K55-AG55</f>
        <v>0</v>
      </c>
      <c r="BC55" s="24">
        <f t="shared" si="72"/>
        <v>0</v>
      </c>
      <c r="BD55" s="24">
        <f t="shared" si="72"/>
        <v>0</v>
      </c>
      <c r="BE55" s="24">
        <f t="shared" si="72"/>
        <v>0</v>
      </c>
      <c r="BF55" s="24">
        <f t="shared" si="72"/>
        <v>0</v>
      </c>
      <c r="BG55" s="24">
        <f t="shared" si="64"/>
        <v>0</v>
      </c>
      <c r="BH55" s="24">
        <f t="shared" ref="BH55:BM59" si="73">+Q55-AM55</f>
        <v>0</v>
      </c>
      <c r="BI55" s="24">
        <f t="shared" si="73"/>
        <v>0</v>
      </c>
      <c r="BJ55" s="24">
        <f t="shared" si="73"/>
        <v>0</v>
      </c>
      <c r="BK55" s="24">
        <f t="shared" si="73"/>
        <v>0</v>
      </c>
      <c r="BL55" s="24">
        <f t="shared" si="73"/>
        <v>0</v>
      </c>
      <c r="BM55" s="24">
        <f t="shared" si="73"/>
        <v>0</v>
      </c>
      <c r="BN55" s="24"/>
      <c r="BO55" s="24"/>
      <c r="BP55" s="24">
        <f t="shared" si="58"/>
        <v>0</v>
      </c>
      <c r="BQ55" s="24">
        <f t="shared" si="59"/>
        <v>0</v>
      </c>
      <c r="BR55" s="25">
        <f t="shared" si="10"/>
        <v>0.9553836</v>
      </c>
      <c r="BS55" s="24">
        <f t="shared" si="39"/>
        <v>9553836</v>
      </c>
      <c r="BT55" s="24"/>
      <c r="BU55" s="24"/>
      <c r="BV55" s="24"/>
      <c r="BW55" s="24"/>
      <c r="BX55" s="24"/>
      <c r="BY55" s="24"/>
      <c r="BZ55" s="24"/>
      <c r="CA55" s="24"/>
      <c r="CB55" s="24"/>
      <c r="CC55" s="24"/>
      <c r="CD55" s="24"/>
      <c r="CE55" s="24"/>
      <c r="CF55" s="24"/>
      <c r="CG55" s="24"/>
      <c r="CH55" s="24">
        <f>+'[3]FEBRERO 2016'!$H$621</f>
        <v>9553836</v>
      </c>
      <c r="CI55" s="24"/>
      <c r="CJ55" s="24"/>
      <c r="CK55" s="24"/>
      <c r="CL55" s="24"/>
      <c r="CM55" s="24"/>
      <c r="CN55" s="25">
        <f t="shared" si="12"/>
        <v>4.4616400000000001E-2</v>
      </c>
      <c r="CO55" s="24">
        <f t="shared" si="40"/>
        <v>446164</v>
      </c>
      <c r="CP55" s="24">
        <f t="shared" si="49"/>
        <v>0</v>
      </c>
      <c r="CQ55" s="24">
        <f t="shared" si="49"/>
        <v>0</v>
      </c>
      <c r="CR55" s="24">
        <f t="shared" si="49"/>
        <v>0</v>
      </c>
      <c r="CS55" s="24">
        <f t="shared" si="49"/>
        <v>0</v>
      </c>
      <c r="CT55" s="24">
        <f t="shared" si="49"/>
        <v>0</v>
      </c>
      <c r="CU55" s="24">
        <f t="shared" si="49"/>
        <v>0</v>
      </c>
      <c r="CV55" s="24">
        <f t="shared" si="67"/>
        <v>0</v>
      </c>
      <c r="CW55" s="24">
        <f t="shared" si="67"/>
        <v>0</v>
      </c>
      <c r="CX55" s="24">
        <f t="shared" si="68"/>
        <v>0</v>
      </c>
      <c r="CY55" s="24">
        <f t="shared" si="66"/>
        <v>0</v>
      </c>
      <c r="CZ55" s="24">
        <f t="shared" si="66"/>
        <v>0</v>
      </c>
      <c r="DA55" s="24">
        <f t="shared" si="66"/>
        <v>0</v>
      </c>
      <c r="DB55" s="24">
        <f t="shared" si="69"/>
        <v>0</v>
      </c>
      <c r="DC55" s="24">
        <f t="shared" si="69"/>
        <v>446164</v>
      </c>
      <c r="DD55" s="24">
        <f t="shared" si="69"/>
        <v>0</v>
      </c>
      <c r="DE55" s="24"/>
      <c r="DF55" s="24">
        <f t="shared" si="70"/>
        <v>0</v>
      </c>
      <c r="DG55" s="24">
        <f t="shared" si="65"/>
        <v>0</v>
      </c>
      <c r="DH55" s="24">
        <f t="shared" si="71"/>
        <v>0</v>
      </c>
      <c r="DJ55" s="29">
        <f t="shared" si="54"/>
        <v>10000000</v>
      </c>
      <c r="DK55" s="29">
        <f t="shared" si="20"/>
        <v>10000000</v>
      </c>
      <c r="DL55" s="29">
        <f t="shared" si="21"/>
        <v>10000000</v>
      </c>
    </row>
    <row r="56" spans="1:116" ht="48" customHeight="1" x14ac:dyDescent="0.25">
      <c r="A56" s="238"/>
      <c r="B56" s="232"/>
      <c r="C56" s="20" t="s">
        <v>174</v>
      </c>
      <c r="D56" s="21" t="s">
        <v>175</v>
      </c>
      <c r="E56" s="22">
        <v>410</v>
      </c>
      <c r="F56" s="23" t="s">
        <v>91</v>
      </c>
      <c r="G56" s="24">
        <f t="shared" si="34"/>
        <v>30000000</v>
      </c>
      <c r="H56" s="33"/>
      <c r="I56" s="24">
        <f>11831904</f>
        <v>11831904</v>
      </c>
      <c r="J56" s="24"/>
      <c r="K56" s="33"/>
      <c r="L56" s="33"/>
      <c r="M56" s="33"/>
      <c r="N56" s="33"/>
      <c r="O56" s="24"/>
      <c r="P56" s="24"/>
      <c r="Q56" s="24"/>
      <c r="R56" s="24"/>
      <c r="S56" s="24"/>
      <c r="T56" s="24"/>
      <c r="U56" s="24">
        <v>18168096</v>
      </c>
      <c r="V56" s="24"/>
      <c r="W56" s="24"/>
      <c r="X56" s="24"/>
      <c r="Y56" s="24"/>
      <c r="Z56" s="24"/>
      <c r="AA56" s="25">
        <f t="shared" si="1"/>
        <v>1</v>
      </c>
      <c r="AB56" s="24">
        <f t="shared" si="35"/>
        <v>30000000</v>
      </c>
      <c r="AC56" s="24"/>
      <c r="AD56" s="24"/>
      <c r="AE56" s="24">
        <f>+'[9]MARZO 2016 ULTIMO'!$M$817</f>
        <v>11831904</v>
      </c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  <c r="AQ56" s="24">
        <v>18168096</v>
      </c>
      <c r="AR56" s="24"/>
      <c r="AS56" s="24"/>
      <c r="AT56" s="24"/>
      <c r="AU56" s="24"/>
      <c r="AV56" s="24"/>
      <c r="AW56" s="25">
        <f t="shared" si="3"/>
        <v>0</v>
      </c>
      <c r="AX56" s="24">
        <f t="shared" si="36"/>
        <v>0</v>
      </c>
      <c r="AY56" s="24">
        <f t="shared" si="46"/>
        <v>0</v>
      </c>
      <c r="AZ56" s="24">
        <f t="shared" si="46"/>
        <v>0</v>
      </c>
      <c r="BA56" s="24">
        <f t="shared" si="46"/>
        <v>0</v>
      </c>
      <c r="BB56" s="24">
        <f t="shared" si="72"/>
        <v>0</v>
      </c>
      <c r="BC56" s="24">
        <f t="shared" si="72"/>
        <v>0</v>
      </c>
      <c r="BD56" s="24">
        <f t="shared" si="72"/>
        <v>0</v>
      </c>
      <c r="BE56" s="24">
        <f t="shared" si="72"/>
        <v>0</v>
      </c>
      <c r="BF56" s="24">
        <f t="shared" si="72"/>
        <v>0</v>
      </c>
      <c r="BG56" s="24">
        <f t="shared" si="64"/>
        <v>0</v>
      </c>
      <c r="BH56" s="24">
        <f t="shared" si="73"/>
        <v>0</v>
      </c>
      <c r="BI56" s="24">
        <f t="shared" si="73"/>
        <v>0</v>
      </c>
      <c r="BJ56" s="24">
        <f t="shared" si="73"/>
        <v>0</v>
      </c>
      <c r="BK56" s="24">
        <f t="shared" si="73"/>
        <v>0</v>
      </c>
      <c r="BL56" s="24">
        <f t="shared" si="73"/>
        <v>0</v>
      </c>
      <c r="BM56" s="24">
        <f t="shared" si="73"/>
        <v>0</v>
      </c>
      <c r="BN56" s="24"/>
      <c r="BO56" s="24"/>
      <c r="BP56" s="24">
        <f t="shared" si="58"/>
        <v>0</v>
      </c>
      <c r="BQ56" s="24">
        <f t="shared" si="59"/>
        <v>0</v>
      </c>
      <c r="BR56" s="25">
        <f t="shared" si="10"/>
        <v>0.99612520000000004</v>
      </c>
      <c r="BS56" s="24">
        <f t="shared" si="39"/>
        <v>29883756</v>
      </c>
      <c r="BT56" s="24"/>
      <c r="BU56" s="24"/>
      <c r="BV56" s="24">
        <f>+'[1]SEPTIEMBRE 2016'!$H$2481</f>
        <v>11715660</v>
      </c>
      <c r="BW56" s="24"/>
      <c r="BX56" s="24"/>
      <c r="BY56" s="24"/>
      <c r="BZ56" s="24"/>
      <c r="CA56" s="24"/>
      <c r="CB56" s="24"/>
      <c r="CC56" s="24"/>
      <c r="CD56" s="24"/>
      <c r="CE56" s="24"/>
      <c r="CF56" s="24"/>
      <c r="CG56" s="24"/>
      <c r="CH56" s="24">
        <f>+'[3]FEBRERO 2016'!$H$635</f>
        <v>18168096</v>
      </c>
      <c r="CI56" s="24"/>
      <c r="CJ56" s="24"/>
      <c r="CK56" s="24"/>
      <c r="CL56" s="24"/>
      <c r="CM56" s="24"/>
      <c r="CN56" s="25">
        <f t="shared" si="12"/>
        <v>3.8747999999999561E-3</v>
      </c>
      <c r="CO56" s="24">
        <f t="shared" si="40"/>
        <v>116244</v>
      </c>
      <c r="CP56" s="24">
        <f t="shared" si="49"/>
        <v>0</v>
      </c>
      <c r="CQ56" s="24">
        <f t="shared" si="49"/>
        <v>116244</v>
      </c>
      <c r="CR56" s="24">
        <f t="shared" si="49"/>
        <v>0</v>
      </c>
      <c r="CS56" s="24">
        <f t="shared" si="49"/>
        <v>0</v>
      </c>
      <c r="CT56" s="24">
        <f t="shared" si="49"/>
        <v>0</v>
      </c>
      <c r="CU56" s="24">
        <f t="shared" si="49"/>
        <v>0</v>
      </c>
      <c r="CV56" s="24">
        <f t="shared" si="67"/>
        <v>0</v>
      </c>
      <c r="CW56" s="24">
        <f t="shared" si="67"/>
        <v>0</v>
      </c>
      <c r="CX56" s="24">
        <f t="shared" si="68"/>
        <v>0</v>
      </c>
      <c r="CY56" s="24">
        <f t="shared" si="66"/>
        <v>0</v>
      </c>
      <c r="CZ56" s="24">
        <f t="shared" si="66"/>
        <v>0</v>
      </c>
      <c r="DA56" s="24">
        <f t="shared" si="66"/>
        <v>0</v>
      </c>
      <c r="DB56" s="24">
        <f t="shared" si="69"/>
        <v>0</v>
      </c>
      <c r="DC56" s="24">
        <f t="shared" si="69"/>
        <v>0</v>
      </c>
      <c r="DD56" s="24">
        <f t="shared" si="69"/>
        <v>0</v>
      </c>
      <c r="DE56" s="24"/>
      <c r="DF56" s="24">
        <f t="shared" si="70"/>
        <v>0</v>
      </c>
      <c r="DG56" s="24">
        <f t="shared" si="65"/>
        <v>0</v>
      </c>
      <c r="DH56" s="24">
        <f t="shared" si="71"/>
        <v>0</v>
      </c>
      <c r="DJ56" s="29">
        <f t="shared" si="54"/>
        <v>30000000</v>
      </c>
      <c r="DK56" s="29">
        <f t="shared" si="20"/>
        <v>30000000</v>
      </c>
      <c r="DL56" s="29">
        <f t="shared" si="21"/>
        <v>30000000</v>
      </c>
    </row>
    <row r="57" spans="1:116" ht="30" customHeight="1" x14ac:dyDescent="0.25">
      <c r="A57" s="238"/>
      <c r="B57" s="232"/>
      <c r="C57" s="20" t="s">
        <v>176</v>
      </c>
      <c r="D57" s="21" t="s">
        <v>177</v>
      </c>
      <c r="E57" s="22">
        <v>410</v>
      </c>
      <c r="F57" s="23" t="s">
        <v>91</v>
      </c>
      <c r="G57" s="24">
        <f t="shared" si="34"/>
        <v>10000000</v>
      </c>
      <c r="H57" s="33"/>
      <c r="I57" s="33"/>
      <c r="J57" s="33"/>
      <c r="K57" s="33"/>
      <c r="L57" s="33"/>
      <c r="M57" s="33"/>
      <c r="N57" s="33"/>
      <c r="O57" s="24"/>
      <c r="P57" s="24"/>
      <c r="Q57" s="24"/>
      <c r="R57" s="24"/>
      <c r="S57" s="24"/>
      <c r="T57" s="24"/>
      <c r="U57" s="24">
        <v>10000000</v>
      </c>
      <c r="V57" s="24"/>
      <c r="W57" s="24"/>
      <c r="X57" s="24"/>
      <c r="Y57" s="24"/>
      <c r="Z57" s="24"/>
      <c r="AA57" s="25">
        <f t="shared" si="1"/>
        <v>1</v>
      </c>
      <c r="AB57" s="24">
        <f t="shared" si="35"/>
        <v>10000000</v>
      </c>
      <c r="AC57" s="24"/>
      <c r="AD57" s="24"/>
      <c r="AE57" s="24"/>
      <c r="AF57" s="24"/>
      <c r="AG57" s="24"/>
      <c r="AH57" s="24"/>
      <c r="AI57" s="24"/>
      <c r="AJ57" s="24"/>
      <c r="AK57" s="24"/>
      <c r="AL57" s="24"/>
      <c r="AM57" s="24"/>
      <c r="AN57" s="24"/>
      <c r="AO57" s="24"/>
      <c r="AP57" s="24"/>
      <c r="AQ57" s="24">
        <f>+'[2]ENERO 2016'!$Y$478</f>
        <v>10000000</v>
      </c>
      <c r="AR57" s="24"/>
      <c r="AS57" s="24"/>
      <c r="AT57" s="24"/>
      <c r="AU57" s="24"/>
      <c r="AV57" s="24"/>
      <c r="AW57" s="25">
        <f t="shared" si="3"/>
        <v>0</v>
      </c>
      <c r="AX57" s="24">
        <f t="shared" si="36"/>
        <v>0</v>
      </c>
      <c r="AY57" s="24">
        <f t="shared" si="46"/>
        <v>0</v>
      </c>
      <c r="AZ57" s="24">
        <f t="shared" si="46"/>
        <v>0</v>
      </c>
      <c r="BA57" s="24">
        <f t="shared" si="46"/>
        <v>0</v>
      </c>
      <c r="BB57" s="24">
        <f t="shared" si="72"/>
        <v>0</v>
      </c>
      <c r="BC57" s="24">
        <f t="shared" si="72"/>
        <v>0</v>
      </c>
      <c r="BD57" s="24">
        <f t="shared" si="72"/>
        <v>0</v>
      </c>
      <c r="BE57" s="24">
        <f t="shared" si="72"/>
        <v>0</v>
      </c>
      <c r="BF57" s="24">
        <f t="shared" si="72"/>
        <v>0</v>
      </c>
      <c r="BG57" s="24">
        <f t="shared" si="64"/>
        <v>0</v>
      </c>
      <c r="BH57" s="24">
        <f t="shared" si="73"/>
        <v>0</v>
      </c>
      <c r="BI57" s="24">
        <f t="shared" si="73"/>
        <v>0</v>
      </c>
      <c r="BJ57" s="24">
        <f t="shared" si="73"/>
        <v>0</v>
      </c>
      <c r="BK57" s="24">
        <f t="shared" si="73"/>
        <v>0</v>
      </c>
      <c r="BL57" s="24">
        <f t="shared" si="73"/>
        <v>0</v>
      </c>
      <c r="BM57" s="24">
        <f t="shared" si="73"/>
        <v>0</v>
      </c>
      <c r="BN57" s="24"/>
      <c r="BO57" s="24"/>
      <c r="BP57" s="24">
        <f t="shared" si="58"/>
        <v>0</v>
      </c>
      <c r="BQ57" s="24">
        <f t="shared" si="59"/>
        <v>0</v>
      </c>
      <c r="BR57" s="25">
        <f t="shared" si="10"/>
        <v>1</v>
      </c>
      <c r="BS57" s="24">
        <f t="shared" si="39"/>
        <v>10000000</v>
      </c>
      <c r="BT57" s="24"/>
      <c r="BU57" s="24"/>
      <c r="BV57" s="24"/>
      <c r="BW57" s="24"/>
      <c r="BX57" s="24"/>
      <c r="BY57" s="24"/>
      <c r="BZ57" s="24"/>
      <c r="CA57" s="24"/>
      <c r="CB57" s="24"/>
      <c r="CC57" s="24"/>
      <c r="CD57" s="24"/>
      <c r="CE57" s="24"/>
      <c r="CF57" s="24"/>
      <c r="CG57" s="24"/>
      <c r="CH57" s="24">
        <v>10000000</v>
      </c>
      <c r="CI57" s="24"/>
      <c r="CJ57" s="24"/>
      <c r="CK57" s="24"/>
      <c r="CL57" s="24"/>
      <c r="CM57" s="24"/>
      <c r="CN57" s="25">
        <f t="shared" si="12"/>
        <v>0</v>
      </c>
      <c r="CO57" s="24">
        <f t="shared" si="40"/>
        <v>0</v>
      </c>
      <c r="CP57" s="24">
        <f t="shared" si="49"/>
        <v>0</v>
      </c>
      <c r="CQ57" s="24">
        <f t="shared" si="49"/>
        <v>0</v>
      </c>
      <c r="CR57" s="24">
        <f t="shared" si="49"/>
        <v>0</v>
      </c>
      <c r="CS57" s="24">
        <f t="shared" si="49"/>
        <v>0</v>
      </c>
      <c r="CT57" s="24">
        <f t="shared" si="49"/>
        <v>0</v>
      </c>
      <c r="CU57" s="24">
        <f t="shared" si="49"/>
        <v>0</v>
      </c>
      <c r="CV57" s="24">
        <f t="shared" si="67"/>
        <v>0</v>
      </c>
      <c r="CW57" s="24">
        <f t="shared" si="67"/>
        <v>0</v>
      </c>
      <c r="CX57" s="24">
        <f t="shared" si="68"/>
        <v>0</v>
      </c>
      <c r="CY57" s="24">
        <f t="shared" si="66"/>
        <v>0</v>
      </c>
      <c r="CZ57" s="24">
        <f t="shared" si="66"/>
        <v>0</v>
      </c>
      <c r="DA57" s="24">
        <f t="shared" si="66"/>
        <v>0</v>
      </c>
      <c r="DB57" s="24">
        <f t="shared" si="69"/>
        <v>0</v>
      </c>
      <c r="DC57" s="24">
        <f t="shared" si="69"/>
        <v>0</v>
      </c>
      <c r="DD57" s="24">
        <f t="shared" si="69"/>
        <v>0</v>
      </c>
      <c r="DE57" s="24"/>
      <c r="DF57" s="24">
        <f t="shared" si="70"/>
        <v>0</v>
      </c>
      <c r="DG57" s="24">
        <f t="shared" si="65"/>
        <v>0</v>
      </c>
      <c r="DH57" s="24">
        <f t="shared" si="71"/>
        <v>0</v>
      </c>
      <c r="DJ57" s="29">
        <f t="shared" si="54"/>
        <v>10000000</v>
      </c>
      <c r="DK57" s="29">
        <f t="shared" si="20"/>
        <v>10000000</v>
      </c>
      <c r="DL57" s="29">
        <f t="shared" si="21"/>
        <v>10000000</v>
      </c>
    </row>
    <row r="58" spans="1:116" ht="38.25" customHeight="1" x14ac:dyDescent="0.25">
      <c r="A58" s="238"/>
      <c r="B58" s="232"/>
      <c r="C58" s="20" t="s">
        <v>178</v>
      </c>
      <c r="D58" s="21" t="s">
        <v>179</v>
      </c>
      <c r="E58" s="22">
        <v>410</v>
      </c>
      <c r="F58" s="23" t="s">
        <v>91</v>
      </c>
      <c r="G58" s="24">
        <f t="shared" si="34"/>
        <v>226043428</v>
      </c>
      <c r="H58" s="33"/>
      <c r="I58" s="24">
        <v>131674838</v>
      </c>
      <c r="J58" s="33"/>
      <c r="K58" s="33"/>
      <c r="L58" s="33">
        <f>74368590</f>
        <v>74368590</v>
      </c>
      <c r="M58" s="33"/>
      <c r="N58" s="33"/>
      <c r="O58" s="24"/>
      <c r="P58" s="24"/>
      <c r="Q58" s="24"/>
      <c r="R58" s="24"/>
      <c r="S58" s="24"/>
      <c r="T58" s="24"/>
      <c r="U58" s="24">
        <v>20000000</v>
      </c>
      <c r="V58" s="24"/>
      <c r="W58" s="24"/>
      <c r="X58" s="24"/>
      <c r="Y58" s="24"/>
      <c r="Z58" s="24"/>
      <c r="AA58" s="25">
        <f t="shared" si="1"/>
        <v>0.36528307295003509</v>
      </c>
      <c r="AB58" s="24">
        <f t="shared" si="35"/>
        <v>82569838</v>
      </c>
      <c r="AC58" s="24"/>
      <c r="AD58" s="24"/>
      <c r="AE58" s="24">
        <f>+'[1]SEPTIEMBRE 2016'!$M$2558</f>
        <v>21330100</v>
      </c>
      <c r="AF58" s="24"/>
      <c r="AG58" s="24"/>
      <c r="AH58" s="24">
        <f>+'[4]AGOSTO 2016'!$P$2179</f>
        <v>43061377</v>
      </c>
      <c r="AI58" s="24"/>
      <c r="AJ58" s="24"/>
      <c r="AK58" s="24"/>
      <c r="AL58" s="24"/>
      <c r="AM58" s="24"/>
      <c r="AN58" s="24"/>
      <c r="AO58" s="24"/>
      <c r="AP58" s="24"/>
      <c r="AQ58" s="24">
        <f>+'[6]JUNIO 2016'!$Y$1439</f>
        <v>18178361</v>
      </c>
      <c r="AR58" s="24"/>
      <c r="AS58" s="24"/>
      <c r="AT58" s="24"/>
      <c r="AU58" s="24"/>
      <c r="AV58" s="24"/>
      <c r="AW58" s="25">
        <f t="shared" si="3"/>
        <v>0.63471692704996485</v>
      </c>
      <c r="AX58" s="24">
        <f t="shared" si="36"/>
        <v>143473590</v>
      </c>
      <c r="AY58" s="24">
        <f t="shared" si="46"/>
        <v>0</v>
      </c>
      <c r="AZ58" s="24">
        <f t="shared" si="46"/>
        <v>110344738</v>
      </c>
      <c r="BA58" s="24">
        <f t="shared" si="46"/>
        <v>0</v>
      </c>
      <c r="BB58" s="24">
        <f t="shared" si="72"/>
        <v>0</v>
      </c>
      <c r="BC58" s="24">
        <f t="shared" si="72"/>
        <v>31307213</v>
      </c>
      <c r="BD58" s="24">
        <f t="shared" si="72"/>
        <v>0</v>
      </c>
      <c r="BE58" s="24">
        <f t="shared" si="72"/>
        <v>0</v>
      </c>
      <c r="BF58" s="24">
        <f t="shared" si="72"/>
        <v>0</v>
      </c>
      <c r="BG58" s="24">
        <f t="shared" si="64"/>
        <v>0</v>
      </c>
      <c r="BH58" s="24">
        <f t="shared" si="73"/>
        <v>0</v>
      </c>
      <c r="BI58" s="24">
        <f t="shared" si="73"/>
        <v>0</v>
      </c>
      <c r="BJ58" s="24">
        <f t="shared" si="73"/>
        <v>0</v>
      </c>
      <c r="BK58" s="24">
        <f t="shared" si="73"/>
        <v>0</v>
      </c>
      <c r="BL58" s="24">
        <f t="shared" si="73"/>
        <v>1821639</v>
      </c>
      <c r="BM58" s="24">
        <f t="shared" si="73"/>
        <v>0</v>
      </c>
      <c r="BN58" s="24"/>
      <c r="BO58" s="24"/>
      <c r="BP58" s="24">
        <f t="shared" si="58"/>
        <v>0</v>
      </c>
      <c r="BQ58" s="24">
        <f t="shared" si="59"/>
        <v>0</v>
      </c>
      <c r="BR58" s="25">
        <f t="shared" si="10"/>
        <v>0.2553479988809938</v>
      </c>
      <c r="BS58" s="24">
        <f t="shared" si="39"/>
        <v>57719737</v>
      </c>
      <c r="BT58" s="24"/>
      <c r="BU58" s="24"/>
      <c r="BV58" s="24">
        <f>+'[1]SEPTIEMBRE 2016'!$H$2591</f>
        <v>872600</v>
      </c>
      <c r="BW58" s="24"/>
      <c r="BX58" s="24"/>
      <c r="BY58" s="24">
        <f>+'[1]SEPTIEMBRE 2016'!$H$2573+'[1]SEPTIEMBRE 2016'!$H$2578+'[1]SEPTIEMBRE 2016'!$H$2580+'[1]SEPTIEMBRE 2016'!$H$2588</f>
        <v>42967109</v>
      </c>
      <c r="BZ58" s="24"/>
      <c r="CA58" s="24"/>
      <c r="CB58" s="24"/>
      <c r="CC58" s="24"/>
      <c r="CD58" s="24"/>
      <c r="CE58" s="24"/>
      <c r="CF58" s="24"/>
      <c r="CG58" s="24"/>
      <c r="CH58" s="24">
        <f>+'[1]SEPTIEMBRE 2016'!$H$2556-BV58-BY58</f>
        <v>13880028</v>
      </c>
      <c r="CI58" s="24"/>
      <c r="CJ58" s="24"/>
      <c r="CK58" s="24"/>
      <c r="CL58" s="24"/>
      <c r="CM58" s="24"/>
      <c r="CN58" s="25">
        <f t="shared" si="12"/>
        <v>0.7446520011190062</v>
      </c>
      <c r="CO58" s="24">
        <f t="shared" si="40"/>
        <v>168323691</v>
      </c>
      <c r="CP58" s="24">
        <f t="shared" si="49"/>
        <v>0</v>
      </c>
      <c r="CQ58" s="24">
        <f t="shared" si="49"/>
        <v>130802238</v>
      </c>
      <c r="CR58" s="24">
        <f t="shared" si="49"/>
        <v>0</v>
      </c>
      <c r="CS58" s="24">
        <f t="shared" si="49"/>
        <v>0</v>
      </c>
      <c r="CT58" s="24">
        <f t="shared" si="49"/>
        <v>31401481</v>
      </c>
      <c r="CU58" s="24">
        <f t="shared" si="49"/>
        <v>0</v>
      </c>
      <c r="CV58" s="24">
        <f t="shared" si="67"/>
        <v>0</v>
      </c>
      <c r="CW58" s="24">
        <f t="shared" si="67"/>
        <v>0</v>
      </c>
      <c r="CX58" s="24">
        <f t="shared" si="68"/>
        <v>0</v>
      </c>
      <c r="CY58" s="24">
        <f t="shared" si="66"/>
        <v>0</v>
      </c>
      <c r="CZ58" s="24">
        <f t="shared" si="66"/>
        <v>0</v>
      </c>
      <c r="DA58" s="24">
        <f t="shared" si="66"/>
        <v>0</v>
      </c>
      <c r="DB58" s="24">
        <f t="shared" si="69"/>
        <v>0</v>
      </c>
      <c r="DC58" s="24">
        <f t="shared" si="69"/>
        <v>6119972</v>
      </c>
      <c r="DD58" s="24">
        <f t="shared" si="69"/>
        <v>0</v>
      </c>
      <c r="DE58" s="24"/>
      <c r="DF58" s="24">
        <f t="shared" si="70"/>
        <v>0</v>
      </c>
      <c r="DG58" s="24">
        <f t="shared" si="65"/>
        <v>0</v>
      </c>
      <c r="DH58" s="24">
        <f t="shared" si="71"/>
        <v>0</v>
      </c>
      <c r="DJ58" s="29">
        <f t="shared" si="54"/>
        <v>226043428</v>
      </c>
      <c r="DK58" s="29">
        <f t="shared" si="20"/>
        <v>226043428</v>
      </c>
      <c r="DL58" s="29">
        <f t="shared" si="21"/>
        <v>226043428</v>
      </c>
    </row>
    <row r="59" spans="1:116" ht="45.75" customHeight="1" x14ac:dyDescent="0.25">
      <c r="A59" s="239"/>
      <c r="B59" s="233"/>
      <c r="C59" s="20" t="s">
        <v>180</v>
      </c>
      <c r="D59" s="21" t="s">
        <v>181</v>
      </c>
      <c r="E59" s="22">
        <v>410</v>
      </c>
      <c r="F59" s="23" t="s">
        <v>91</v>
      </c>
      <c r="G59" s="24">
        <f t="shared" si="34"/>
        <v>16000000</v>
      </c>
      <c r="H59" s="33"/>
      <c r="I59" s="33"/>
      <c r="J59" s="33"/>
      <c r="K59" s="33"/>
      <c r="L59" s="33"/>
      <c r="M59" s="33"/>
      <c r="N59" s="33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>
        <f>16000000</f>
        <v>16000000</v>
      </c>
      <c r="AA59" s="25">
        <f t="shared" si="1"/>
        <v>1</v>
      </c>
      <c r="AB59" s="24">
        <f t="shared" si="35"/>
        <v>16000000</v>
      </c>
      <c r="AC59" s="24"/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>
        <f>+'[9]MARZO 2016 ULTIMO'!$AF$846</f>
        <v>16000000</v>
      </c>
      <c r="AW59" s="25">
        <f t="shared" si="3"/>
        <v>0</v>
      </c>
      <c r="AX59" s="24">
        <f t="shared" si="36"/>
        <v>0</v>
      </c>
      <c r="AY59" s="24">
        <f t="shared" si="46"/>
        <v>0</v>
      </c>
      <c r="AZ59" s="24">
        <f t="shared" si="46"/>
        <v>0</v>
      </c>
      <c r="BA59" s="24">
        <f t="shared" si="46"/>
        <v>0</v>
      </c>
      <c r="BB59" s="24">
        <f t="shared" si="72"/>
        <v>0</v>
      </c>
      <c r="BC59" s="24">
        <f t="shared" si="72"/>
        <v>0</v>
      </c>
      <c r="BD59" s="24">
        <f t="shared" si="72"/>
        <v>0</v>
      </c>
      <c r="BE59" s="24">
        <f t="shared" si="72"/>
        <v>0</v>
      </c>
      <c r="BF59" s="24">
        <f t="shared" si="72"/>
        <v>0</v>
      </c>
      <c r="BG59" s="24">
        <f t="shared" si="64"/>
        <v>0</v>
      </c>
      <c r="BH59" s="24">
        <f t="shared" si="73"/>
        <v>0</v>
      </c>
      <c r="BI59" s="24">
        <f t="shared" si="73"/>
        <v>0</v>
      </c>
      <c r="BJ59" s="24">
        <f t="shared" si="73"/>
        <v>0</v>
      </c>
      <c r="BK59" s="24">
        <f t="shared" si="73"/>
        <v>0</v>
      </c>
      <c r="BL59" s="24">
        <f t="shared" si="73"/>
        <v>0</v>
      </c>
      <c r="BM59" s="24">
        <f t="shared" si="73"/>
        <v>0</v>
      </c>
      <c r="BN59" s="24"/>
      <c r="BO59" s="24"/>
      <c r="BP59" s="24">
        <f t="shared" si="58"/>
        <v>0</v>
      </c>
      <c r="BQ59" s="24">
        <f t="shared" si="59"/>
        <v>0</v>
      </c>
      <c r="BR59" s="25">
        <f t="shared" si="10"/>
        <v>1</v>
      </c>
      <c r="BS59" s="24">
        <f t="shared" si="39"/>
        <v>16000000</v>
      </c>
      <c r="BT59" s="24"/>
      <c r="BU59" s="24"/>
      <c r="BV59" s="24"/>
      <c r="BW59" s="24"/>
      <c r="BX59" s="24"/>
      <c r="BY59" s="24"/>
      <c r="BZ59" s="24"/>
      <c r="CA59" s="24"/>
      <c r="CB59" s="24"/>
      <c r="CC59" s="24"/>
      <c r="CD59" s="24"/>
      <c r="CE59" s="24"/>
      <c r="CF59" s="24"/>
      <c r="CG59" s="24"/>
      <c r="CH59" s="24"/>
      <c r="CI59" s="24"/>
      <c r="CJ59" s="24"/>
      <c r="CK59" s="24"/>
      <c r="CL59" s="24"/>
      <c r="CM59" s="24">
        <f>+'[5]JULIO 2016'!$H$1616</f>
        <v>16000000</v>
      </c>
      <c r="CN59" s="25">
        <f t="shared" si="12"/>
        <v>0</v>
      </c>
      <c r="CO59" s="24">
        <f t="shared" si="40"/>
        <v>0</v>
      </c>
      <c r="CP59" s="24">
        <f t="shared" si="49"/>
        <v>0</v>
      </c>
      <c r="CQ59" s="24">
        <f t="shared" si="49"/>
        <v>0</v>
      </c>
      <c r="CR59" s="24">
        <f t="shared" si="49"/>
        <v>0</v>
      </c>
      <c r="CS59" s="24">
        <f t="shared" si="49"/>
        <v>0</v>
      </c>
      <c r="CT59" s="24">
        <f t="shared" si="49"/>
        <v>0</v>
      </c>
      <c r="CU59" s="24">
        <f t="shared" si="49"/>
        <v>0</v>
      </c>
      <c r="CV59" s="24">
        <f t="shared" si="67"/>
        <v>0</v>
      </c>
      <c r="CW59" s="24">
        <f t="shared" si="67"/>
        <v>0</v>
      </c>
      <c r="CX59" s="24">
        <f t="shared" si="68"/>
        <v>0</v>
      </c>
      <c r="CY59" s="24">
        <f t="shared" si="66"/>
        <v>0</v>
      </c>
      <c r="CZ59" s="24">
        <f t="shared" si="66"/>
        <v>0</v>
      </c>
      <c r="DA59" s="24">
        <f t="shared" si="66"/>
        <v>0</v>
      </c>
      <c r="DB59" s="24">
        <f t="shared" si="69"/>
        <v>0</v>
      </c>
      <c r="DC59" s="24">
        <f t="shared" si="69"/>
        <v>0</v>
      </c>
      <c r="DD59" s="24">
        <f t="shared" si="69"/>
        <v>0</v>
      </c>
      <c r="DE59" s="24"/>
      <c r="DF59" s="24">
        <f t="shared" si="70"/>
        <v>0</v>
      </c>
      <c r="DG59" s="24">
        <f t="shared" si="65"/>
        <v>0</v>
      </c>
      <c r="DH59" s="24">
        <f t="shared" si="71"/>
        <v>0</v>
      </c>
      <c r="DJ59" s="29">
        <f t="shared" si="54"/>
        <v>16000000</v>
      </c>
      <c r="DK59" s="29">
        <f t="shared" si="20"/>
        <v>16000000</v>
      </c>
      <c r="DL59" s="29">
        <f t="shared" si="21"/>
        <v>16000000</v>
      </c>
    </row>
    <row r="60" spans="1:116" s="43" customFormat="1" ht="18" customHeight="1" thickBot="1" x14ac:dyDescent="0.3">
      <c r="A60" s="59"/>
      <c r="B60" s="240" t="s">
        <v>182</v>
      </c>
      <c r="C60" s="240"/>
      <c r="D60" s="240"/>
      <c r="E60" s="240"/>
      <c r="F60" s="60"/>
      <c r="G60" s="61">
        <f t="shared" ref="G60:Z60" si="74">SUM(G21:G59)</f>
        <v>5991897445</v>
      </c>
      <c r="H60" s="61">
        <f t="shared" si="74"/>
        <v>0</v>
      </c>
      <c r="I60" s="61">
        <f t="shared" si="74"/>
        <v>2263096695</v>
      </c>
      <c r="J60" s="61">
        <f t="shared" si="74"/>
        <v>0</v>
      </c>
      <c r="K60" s="61">
        <f t="shared" si="74"/>
        <v>0</v>
      </c>
      <c r="L60" s="61">
        <f t="shared" si="74"/>
        <v>74368590</v>
      </c>
      <c r="M60" s="61">
        <f t="shared" si="74"/>
        <v>0</v>
      </c>
      <c r="N60" s="61">
        <f t="shared" si="74"/>
        <v>0</v>
      </c>
      <c r="O60" s="61">
        <f t="shared" si="74"/>
        <v>0</v>
      </c>
      <c r="P60" s="61">
        <f t="shared" si="74"/>
        <v>0</v>
      </c>
      <c r="Q60" s="61">
        <f t="shared" si="74"/>
        <v>0</v>
      </c>
      <c r="R60" s="61">
        <f t="shared" si="74"/>
        <v>1845604065</v>
      </c>
      <c r="S60" s="61">
        <f t="shared" si="74"/>
        <v>387696735</v>
      </c>
      <c r="T60" s="61">
        <f t="shared" si="74"/>
        <v>0</v>
      </c>
      <c r="U60" s="61">
        <f t="shared" si="74"/>
        <v>1054833768</v>
      </c>
      <c r="V60" s="61">
        <f t="shared" si="74"/>
        <v>0</v>
      </c>
      <c r="W60" s="61">
        <f t="shared" si="74"/>
        <v>51295383</v>
      </c>
      <c r="X60" s="61">
        <f t="shared" si="74"/>
        <v>0</v>
      </c>
      <c r="Y60" s="61">
        <f t="shared" si="74"/>
        <v>204741836</v>
      </c>
      <c r="Z60" s="61">
        <f t="shared" si="74"/>
        <v>110260373</v>
      </c>
      <c r="AA60" s="41">
        <f t="shared" si="1"/>
        <v>0.86657327159911024</v>
      </c>
      <c r="AB60" s="61">
        <f>SUM(AB21:AB59)</f>
        <v>5192418172</v>
      </c>
      <c r="AC60" s="61"/>
      <c r="AD60" s="61">
        <f t="shared" ref="AD60:AV60" si="75">SUM(AD21:AD59)</f>
        <v>0</v>
      </c>
      <c r="AE60" s="61">
        <f t="shared" si="75"/>
        <v>1885268117</v>
      </c>
      <c r="AF60" s="61">
        <f t="shared" si="75"/>
        <v>0</v>
      </c>
      <c r="AG60" s="61">
        <f t="shared" si="75"/>
        <v>0</v>
      </c>
      <c r="AH60" s="61">
        <f t="shared" si="75"/>
        <v>43061377</v>
      </c>
      <c r="AI60" s="61">
        <f t="shared" si="75"/>
        <v>0</v>
      </c>
      <c r="AJ60" s="61">
        <f t="shared" si="75"/>
        <v>0</v>
      </c>
      <c r="AK60" s="61">
        <f t="shared" si="75"/>
        <v>0</v>
      </c>
      <c r="AL60" s="61">
        <f t="shared" si="75"/>
        <v>0</v>
      </c>
      <c r="AM60" s="61">
        <f t="shared" si="75"/>
        <v>0</v>
      </c>
      <c r="AN60" s="61">
        <f t="shared" si="75"/>
        <v>1787879677</v>
      </c>
      <c r="AO60" s="61">
        <f t="shared" si="75"/>
        <v>319704306</v>
      </c>
      <c r="AP60" s="61">
        <f t="shared" si="75"/>
        <v>0</v>
      </c>
      <c r="AQ60" s="61">
        <f t="shared" si="75"/>
        <v>910591170</v>
      </c>
      <c r="AR60" s="61">
        <f t="shared" si="75"/>
        <v>0</v>
      </c>
      <c r="AS60" s="61">
        <f t="shared" si="75"/>
        <v>51295383</v>
      </c>
      <c r="AT60" s="61">
        <f t="shared" si="75"/>
        <v>0</v>
      </c>
      <c r="AU60" s="61">
        <f t="shared" si="75"/>
        <v>114321836</v>
      </c>
      <c r="AV60" s="61">
        <f t="shared" si="75"/>
        <v>80296306</v>
      </c>
      <c r="AW60" s="41">
        <f t="shared" si="3"/>
        <v>0.13342672840088976</v>
      </c>
      <c r="AX60" s="61">
        <f t="shared" ref="AX60:BQ60" si="76">SUM(AX21:AX59)</f>
        <v>799479273</v>
      </c>
      <c r="AY60" s="61">
        <f t="shared" si="76"/>
        <v>0</v>
      </c>
      <c r="AZ60" s="61">
        <f t="shared" si="76"/>
        <v>377828578</v>
      </c>
      <c r="BA60" s="61">
        <f t="shared" si="76"/>
        <v>0</v>
      </c>
      <c r="BB60" s="61">
        <f t="shared" si="76"/>
        <v>0</v>
      </c>
      <c r="BC60" s="61">
        <f t="shared" si="76"/>
        <v>31307213</v>
      </c>
      <c r="BD60" s="61">
        <f t="shared" si="76"/>
        <v>0</v>
      </c>
      <c r="BE60" s="61">
        <f t="shared" si="76"/>
        <v>0</v>
      </c>
      <c r="BF60" s="61">
        <f t="shared" si="76"/>
        <v>0</v>
      </c>
      <c r="BG60" s="61">
        <f t="shared" si="76"/>
        <v>0</v>
      </c>
      <c r="BH60" s="61">
        <f t="shared" si="76"/>
        <v>0</v>
      </c>
      <c r="BI60" s="61">
        <f t="shared" si="76"/>
        <v>57724388</v>
      </c>
      <c r="BJ60" s="61">
        <f t="shared" si="76"/>
        <v>67992429</v>
      </c>
      <c r="BK60" s="61">
        <f t="shared" si="76"/>
        <v>0</v>
      </c>
      <c r="BL60" s="61">
        <f t="shared" si="76"/>
        <v>144242598</v>
      </c>
      <c r="BM60" s="61">
        <f t="shared" si="76"/>
        <v>0</v>
      </c>
      <c r="BN60" s="61">
        <f t="shared" si="76"/>
        <v>0</v>
      </c>
      <c r="BO60" s="61">
        <f t="shared" si="76"/>
        <v>0</v>
      </c>
      <c r="BP60" s="61">
        <f t="shared" si="76"/>
        <v>90420000</v>
      </c>
      <c r="BQ60" s="61">
        <f t="shared" si="76"/>
        <v>29964067</v>
      </c>
      <c r="BR60" s="41">
        <f t="shared" si="10"/>
        <v>0.63125973662254498</v>
      </c>
      <c r="BS60" s="61">
        <f t="shared" ref="BS60:DH60" si="77">SUM(BS21:BS59)</f>
        <v>3782443603</v>
      </c>
      <c r="BT60" s="61">
        <f t="shared" si="77"/>
        <v>0</v>
      </c>
      <c r="BU60" s="61">
        <f t="shared" si="77"/>
        <v>0</v>
      </c>
      <c r="BV60" s="61">
        <f t="shared" si="77"/>
        <v>1276175353</v>
      </c>
      <c r="BW60" s="61">
        <f t="shared" si="77"/>
        <v>0</v>
      </c>
      <c r="BX60" s="61">
        <f t="shared" si="77"/>
        <v>0</v>
      </c>
      <c r="BY60" s="61">
        <f t="shared" si="77"/>
        <v>42967109</v>
      </c>
      <c r="BZ60" s="61">
        <f t="shared" si="77"/>
        <v>0</v>
      </c>
      <c r="CA60" s="61">
        <f t="shared" si="77"/>
        <v>0</v>
      </c>
      <c r="CB60" s="61">
        <f t="shared" si="77"/>
        <v>0</v>
      </c>
      <c r="CC60" s="61">
        <f t="shared" si="77"/>
        <v>0</v>
      </c>
      <c r="CD60" s="61">
        <f t="shared" si="77"/>
        <v>0</v>
      </c>
      <c r="CE60" s="61">
        <f t="shared" si="77"/>
        <v>1202759755</v>
      </c>
      <c r="CF60" s="61">
        <f t="shared" si="77"/>
        <v>305174306</v>
      </c>
      <c r="CG60" s="61">
        <f t="shared" si="77"/>
        <v>0</v>
      </c>
      <c r="CH60" s="61">
        <f t="shared" si="77"/>
        <v>845852866</v>
      </c>
      <c r="CI60" s="61">
        <f t="shared" si="77"/>
        <v>0</v>
      </c>
      <c r="CJ60" s="61">
        <f t="shared" si="77"/>
        <v>5867630</v>
      </c>
      <c r="CK60" s="61">
        <f t="shared" si="77"/>
        <v>0</v>
      </c>
      <c r="CL60" s="61">
        <f t="shared" si="77"/>
        <v>23350298</v>
      </c>
      <c r="CM60" s="61">
        <f t="shared" si="77"/>
        <v>80296286</v>
      </c>
      <c r="CN60" s="61" t="e">
        <f t="shared" si="77"/>
        <v>#DIV/0!</v>
      </c>
      <c r="CO60" s="61">
        <f t="shared" si="77"/>
        <v>2209453842</v>
      </c>
      <c r="CP60" s="61">
        <f t="shared" si="77"/>
        <v>0</v>
      </c>
      <c r="CQ60" s="61">
        <f t="shared" si="77"/>
        <v>986921342</v>
      </c>
      <c r="CR60" s="61">
        <f t="shared" si="77"/>
        <v>0</v>
      </c>
      <c r="CS60" s="61">
        <f t="shared" si="77"/>
        <v>0</v>
      </c>
      <c r="CT60" s="61">
        <f t="shared" si="77"/>
        <v>31401481</v>
      </c>
      <c r="CU60" s="61">
        <f t="shared" si="77"/>
        <v>0</v>
      </c>
      <c r="CV60" s="61">
        <f t="shared" si="77"/>
        <v>0</v>
      </c>
      <c r="CW60" s="61">
        <f t="shared" si="77"/>
        <v>0</v>
      </c>
      <c r="CX60" s="61">
        <f t="shared" si="77"/>
        <v>0</v>
      </c>
      <c r="CY60" s="61">
        <f t="shared" si="77"/>
        <v>0</v>
      </c>
      <c r="CZ60" s="61">
        <f t="shared" si="77"/>
        <v>642844310</v>
      </c>
      <c r="DA60" s="61">
        <f t="shared" si="77"/>
        <v>82522429</v>
      </c>
      <c r="DB60" s="61">
        <f t="shared" si="77"/>
        <v>0</v>
      </c>
      <c r="DC60" s="61">
        <f t="shared" si="77"/>
        <v>208980902</v>
      </c>
      <c r="DD60" s="61">
        <f t="shared" si="77"/>
        <v>0</v>
      </c>
      <c r="DE60" s="61">
        <f t="shared" si="77"/>
        <v>45427753</v>
      </c>
      <c r="DF60" s="61">
        <f t="shared" si="77"/>
        <v>0</v>
      </c>
      <c r="DG60" s="61">
        <f t="shared" si="77"/>
        <v>181391538</v>
      </c>
      <c r="DH60" s="62">
        <f t="shared" si="77"/>
        <v>29964087</v>
      </c>
      <c r="DJ60" s="29">
        <f t="shared" si="54"/>
        <v>5991897445</v>
      </c>
      <c r="DK60" s="29">
        <f t="shared" si="20"/>
        <v>5991897445</v>
      </c>
      <c r="DL60" s="29">
        <f t="shared" si="21"/>
        <v>5991897445</v>
      </c>
    </row>
    <row r="61" spans="1:116" ht="55.5" customHeight="1" thickTop="1" x14ac:dyDescent="0.25">
      <c r="A61" s="228" t="s">
        <v>183</v>
      </c>
      <c r="B61" s="231" t="s">
        <v>184</v>
      </c>
      <c r="C61" s="20" t="s">
        <v>185</v>
      </c>
      <c r="D61" s="21" t="s">
        <v>186</v>
      </c>
      <c r="E61" s="22">
        <v>520</v>
      </c>
      <c r="F61" s="23" t="s">
        <v>187</v>
      </c>
      <c r="G61" s="24">
        <f t="shared" ref="G61:G92" si="78">SUM(H61:Z61)</f>
        <v>117258276</v>
      </c>
      <c r="H61" s="24"/>
      <c r="I61" s="24"/>
      <c r="J61" s="24"/>
      <c r="K61" s="24"/>
      <c r="L61" s="24">
        <f>50000000</f>
        <v>50000000</v>
      </c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>
        <f>50000000+8000000+1184357+4073919+4000000</f>
        <v>67258276</v>
      </c>
      <c r="AA61" s="25">
        <f t="shared" si="1"/>
        <v>0.89638145455933538</v>
      </c>
      <c r="AB61" s="24">
        <f>SUM(AC61:AV61)</f>
        <v>105108144</v>
      </c>
      <c r="AC61" s="24"/>
      <c r="AD61" s="24"/>
      <c r="AE61" s="24"/>
      <c r="AF61" s="24"/>
      <c r="AG61" s="24"/>
      <c r="AH61" s="24">
        <f>+'[1]SEPTIEMBRE 2016'!$P$2964</f>
        <v>49797725</v>
      </c>
      <c r="AI61" s="24"/>
      <c r="AJ61" s="24"/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>
        <f>+'[1]SEPTIEMBRE 2016'!$AG$2964</f>
        <v>55310419</v>
      </c>
      <c r="AW61" s="25">
        <f t="shared" si="3"/>
        <v>0.10361854544066462</v>
      </c>
      <c r="AX61" s="24">
        <f t="shared" ref="AX61:AX92" si="79">SUM(AY61:BQ61)</f>
        <v>12150132</v>
      </c>
      <c r="AY61" s="24">
        <f t="shared" ref="AY61:BM92" si="80">H61-AD61</f>
        <v>0</v>
      </c>
      <c r="AZ61" s="24">
        <f t="shared" si="80"/>
        <v>0</v>
      </c>
      <c r="BA61" s="24">
        <f t="shared" si="80"/>
        <v>0</v>
      </c>
      <c r="BB61" s="24">
        <f t="shared" ref="BB61:BM70" si="81">+K61-AG61</f>
        <v>0</v>
      </c>
      <c r="BC61" s="24">
        <f t="shared" si="81"/>
        <v>202275</v>
      </c>
      <c r="BD61" s="24">
        <f t="shared" si="81"/>
        <v>0</v>
      </c>
      <c r="BE61" s="24">
        <f t="shared" si="81"/>
        <v>0</v>
      </c>
      <c r="BF61" s="24">
        <f t="shared" si="81"/>
        <v>0</v>
      </c>
      <c r="BG61" s="24">
        <f t="shared" si="81"/>
        <v>0</v>
      </c>
      <c r="BH61" s="24">
        <f t="shared" si="81"/>
        <v>0</v>
      </c>
      <c r="BI61" s="24">
        <f t="shared" si="81"/>
        <v>0</v>
      </c>
      <c r="BJ61" s="24">
        <f t="shared" si="81"/>
        <v>0</v>
      </c>
      <c r="BK61" s="24">
        <f t="shared" si="81"/>
        <v>0</v>
      </c>
      <c r="BL61" s="24">
        <f t="shared" si="81"/>
        <v>0</v>
      </c>
      <c r="BM61" s="24">
        <f t="shared" si="81"/>
        <v>0</v>
      </c>
      <c r="BN61" s="24"/>
      <c r="BO61" s="24"/>
      <c r="BP61" s="24">
        <f t="shared" ref="BP61:BP92" si="82">Y61-AU61</f>
        <v>0</v>
      </c>
      <c r="BQ61" s="24">
        <f t="shared" ref="BQ61:BQ70" si="83">+Z61-AV61</f>
        <v>11947857</v>
      </c>
      <c r="BR61" s="25">
        <f t="shared" si="10"/>
        <v>0.89638145455933538</v>
      </c>
      <c r="BS61" s="24">
        <f t="shared" ref="BS61:BS92" si="84">SUM(BT61:CM61)</f>
        <v>105108144</v>
      </c>
      <c r="BT61" s="24"/>
      <c r="BU61" s="24"/>
      <c r="BV61" s="24"/>
      <c r="BW61" s="24"/>
      <c r="BX61" s="24"/>
      <c r="BY61" s="24">
        <f>+'[1]SEPTIEMBRE 2016'!$P$2964</f>
        <v>49797725</v>
      </c>
      <c r="BZ61" s="24"/>
      <c r="CA61" s="24"/>
      <c r="CB61" s="24"/>
      <c r="CC61" s="24"/>
      <c r="CD61" s="24"/>
      <c r="CE61" s="24"/>
      <c r="CF61" s="24"/>
      <c r="CG61" s="24"/>
      <c r="CH61" s="24"/>
      <c r="CI61" s="24"/>
      <c r="CJ61" s="24"/>
      <c r="CK61" s="24"/>
      <c r="CL61" s="24"/>
      <c r="CM61" s="24">
        <f>+'[1]SEPTIEMBRE 2016'!$AG$2964</f>
        <v>55310419</v>
      </c>
      <c r="CN61" s="25">
        <f t="shared" ref="CN61:CN93" si="85">1-BR61</f>
        <v>0.10361854544066462</v>
      </c>
      <c r="CO61" s="24">
        <f t="shared" ref="CO61:CO92" si="86">SUM(CP61:DH61)</f>
        <v>12150132</v>
      </c>
      <c r="CP61" s="24">
        <f t="shared" ref="CP61:CX76" si="87">H61-BU61</f>
        <v>0</v>
      </c>
      <c r="CQ61" s="24">
        <f t="shared" si="87"/>
        <v>0</v>
      </c>
      <c r="CR61" s="24">
        <f t="shared" si="87"/>
        <v>0</v>
      </c>
      <c r="CS61" s="24">
        <f t="shared" si="87"/>
        <v>0</v>
      </c>
      <c r="CT61" s="24">
        <f t="shared" si="87"/>
        <v>202275</v>
      </c>
      <c r="CU61" s="24">
        <f t="shared" si="87"/>
        <v>0</v>
      </c>
      <c r="CV61" s="24">
        <f t="shared" ref="CV61:CX70" si="88">+N61-CA61</f>
        <v>0</v>
      </c>
      <c r="CW61" s="24">
        <f t="shared" si="88"/>
        <v>0</v>
      </c>
      <c r="CX61" s="24">
        <f t="shared" si="88"/>
        <v>0</v>
      </c>
      <c r="CY61" s="24">
        <f t="shared" ref="CY61:DD91" si="89">Q61-CD61</f>
        <v>0</v>
      </c>
      <c r="CZ61" s="24">
        <f t="shared" si="89"/>
        <v>0</v>
      </c>
      <c r="DA61" s="24">
        <f t="shared" si="89"/>
        <v>0</v>
      </c>
      <c r="DB61" s="24">
        <f t="shared" ref="DB61:DD70" si="90">+T61-CG61</f>
        <v>0</v>
      </c>
      <c r="DC61" s="24">
        <f t="shared" si="90"/>
        <v>0</v>
      </c>
      <c r="DD61" s="24">
        <f t="shared" si="90"/>
        <v>0</v>
      </c>
      <c r="DE61" s="24"/>
      <c r="DF61" s="24">
        <f t="shared" ref="DF61:DH70" si="91">+X61-CK61</f>
        <v>0</v>
      </c>
      <c r="DG61" s="54">
        <f t="shared" si="91"/>
        <v>0</v>
      </c>
      <c r="DH61" s="24">
        <f t="shared" si="91"/>
        <v>11947857</v>
      </c>
      <c r="DJ61" s="29">
        <f t="shared" si="54"/>
        <v>117258276</v>
      </c>
      <c r="DK61" s="29">
        <f t="shared" si="20"/>
        <v>117258276</v>
      </c>
      <c r="DL61" s="29">
        <f t="shared" si="21"/>
        <v>117258276</v>
      </c>
    </row>
    <row r="62" spans="1:116" ht="35.25" customHeight="1" x14ac:dyDescent="0.25">
      <c r="A62" s="229"/>
      <c r="B62" s="232"/>
      <c r="C62" s="20" t="s">
        <v>188</v>
      </c>
      <c r="D62" s="21" t="s">
        <v>189</v>
      </c>
      <c r="E62" s="22">
        <v>520</v>
      </c>
      <c r="F62" s="23" t="s">
        <v>190</v>
      </c>
      <c r="G62" s="24">
        <f t="shared" si="78"/>
        <v>8000000</v>
      </c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>
        <f>2000000+2000000+4000000</f>
        <v>8000000</v>
      </c>
      <c r="AA62" s="25">
        <f t="shared" si="1"/>
        <v>0.19493750000000001</v>
      </c>
      <c r="AB62" s="24">
        <f t="shared" ref="AB62:AB92" si="92">SUM(AC62:AV62)</f>
        <v>1559500</v>
      </c>
      <c r="AC62" s="24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>
        <f>+'[1]SEPTIEMBRE 2016'!$G$3040</f>
        <v>1559500</v>
      </c>
      <c r="AW62" s="25">
        <f t="shared" si="3"/>
        <v>0.80506250000000001</v>
      </c>
      <c r="AX62" s="24">
        <f t="shared" si="79"/>
        <v>6440500</v>
      </c>
      <c r="AY62" s="24">
        <f t="shared" si="80"/>
        <v>0</v>
      </c>
      <c r="AZ62" s="24">
        <f t="shared" si="80"/>
        <v>0</v>
      </c>
      <c r="BA62" s="24">
        <f t="shared" si="80"/>
        <v>0</v>
      </c>
      <c r="BB62" s="24">
        <f t="shared" si="81"/>
        <v>0</v>
      </c>
      <c r="BC62" s="24">
        <f t="shared" si="81"/>
        <v>0</v>
      </c>
      <c r="BD62" s="24">
        <f t="shared" si="81"/>
        <v>0</v>
      </c>
      <c r="BE62" s="24">
        <f t="shared" si="81"/>
        <v>0</v>
      </c>
      <c r="BF62" s="24">
        <f t="shared" si="81"/>
        <v>0</v>
      </c>
      <c r="BG62" s="24">
        <f t="shared" si="81"/>
        <v>0</v>
      </c>
      <c r="BH62" s="24">
        <f t="shared" si="81"/>
        <v>0</v>
      </c>
      <c r="BI62" s="24">
        <f t="shared" si="81"/>
        <v>0</v>
      </c>
      <c r="BJ62" s="24">
        <f t="shared" si="81"/>
        <v>0</v>
      </c>
      <c r="BK62" s="24">
        <f t="shared" si="81"/>
        <v>0</v>
      </c>
      <c r="BL62" s="24">
        <f t="shared" si="81"/>
        <v>0</v>
      </c>
      <c r="BM62" s="24">
        <f t="shared" si="81"/>
        <v>0</v>
      </c>
      <c r="BN62" s="24"/>
      <c r="BO62" s="24"/>
      <c r="BP62" s="24">
        <f t="shared" si="82"/>
        <v>0</v>
      </c>
      <c r="BQ62" s="24">
        <f t="shared" si="83"/>
        <v>6440500</v>
      </c>
      <c r="BR62" s="25">
        <f t="shared" si="10"/>
        <v>0.19493750000000001</v>
      </c>
      <c r="BS62" s="24">
        <f t="shared" si="84"/>
        <v>1559500</v>
      </c>
      <c r="BT62" s="24"/>
      <c r="BU62" s="24"/>
      <c r="BV62" s="24"/>
      <c r="BW62" s="24"/>
      <c r="BX62" s="24"/>
      <c r="BY62" s="24"/>
      <c r="BZ62" s="24"/>
      <c r="CA62" s="24"/>
      <c r="CB62" s="24"/>
      <c r="CC62" s="24"/>
      <c r="CD62" s="24"/>
      <c r="CE62" s="24"/>
      <c r="CF62" s="24"/>
      <c r="CG62" s="24"/>
      <c r="CH62" s="24"/>
      <c r="CI62" s="24"/>
      <c r="CJ62" s="24"/>
      <c r="CK62" s="24"/>
      <c r="CL62" s="24"/>
      <c r="CM62" s="24">
        <f>+'[1]SEPTIEMBRE 2016'!$H$3040</f>
        <v>1559500</v>
      </c>
      <c r="CN62" s="25">
        <f t="shared" si="85"/>
        <v>0.80506250000000001</v>
      </c>
      <c r="CO62" s="24">
        <f t="shared" si="86"/>
        <v>6440500</v>
      </c>
      <c r="CP62" s="24">
        <f t="shared" si="87"/>
        <v>0</v>
      </c>
      <c r="CQ62" s="24">
        <f t="shared" si="87"/>
        <v>0</v>
      </c>
      <c r="CR62" s="24">
        <f t="shared" si="87"/>
        <v>0</v>
      </c>
      <c r="CS62" s="24">
        <f t="shared" si="87"/>
        <v>0</v>
      </c>
      <c r="CT62" s="24">
        <f t="shared" si="87"/>
        <v>0</v>
      </c>
      <c r="CU62" s="24">
        <f t="shared" si="87"/>
        <v>0</v>
      </c>
      <c r="CV62" s="24">
        <f t="shared" si="88"/>
        <v>0</v>
      </c>
      <c r="CW62" s="24">
        <f t="shared" si="88"/>
        <v>0</v>
      </c>
      <c r="CX62" s="24">
        <f t="shared" si="88"/>
        <v>0</v>
      </c>
      <c r="CY62" s="24">
        <f t="shared" si="89"/>
        <v>0</v>
      </c>
      <c r="CZ62" s="24">
        <f t="shared" si="89"/>
        <v>0</v>
      </c>
      <c r="DA62" s="24">
        <f t="shared" si="89"/>
        <v>0</v>
      </c>
      <c r="DB62" s="24">
        <f t="shared" si="90"/>
        <v>0</v>
      </c>
      <c r="DC62" s="24">
        <f t="shared" si="90"/>
        <v>0</v>
      </c>
      <c r="DD62" s="24">
        <f t="shared" si="90"/>
        <v>0</v>
      </c>
      <c r="DE62" s="24"/>
      <c r="DF62" s="24">
        <f t="shared" si="91"/>
        <v>0</v>
      </c>
      <c r="DG62" s="54">
        <f t="shared" si="91"/>
        <v>0</v>
      </c>
      <c r="DH62" s="24">
        <f t="shared" si="91"/>
        <v>6440500</v>
      </c>
      <c r="DJ62" s="29">
        <f t="shared" si="54"/>
        <v>8000000</v>
      </c>
      <c r="DK62" s="29">
        <f t="shared" si="20"/>
        <v>8000000</v>
      </c>
      <c r="DL62" s="29">
        <f t="shared" si="21"/>
        <v>8000000</v>
      </c>
    </row>
    <row r="63" spans="1:116" ht="36.75" customHeight="1" x14ac:dyDescent="0.25">
      <c r="A63" s="229"/>
      <c r="B63" s="233"/>
      <c r="C63" s="20" t="s">
        <v>191</v>
      </c>
      <c r="D63" s="21" t="s">
        <v>192</v>
      </c>
      <c r="E63" s="22">
        <v>520</v>
      </c>
      <c r="F63" s="23" t="s">
        <v>76</v>
      </c>
      <c r="G63" s="24">
        <f t="shared" si="78"/>
        <v>3000000</v>
      </c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>
        <v>3000000</v>
      </c>
      <c r="AA63" s="25">
        <f t="shared" si="1"/>
        <v>1</v>
      </c>
      <c r="AB63" s="24">
        <f t="shared" si="92"/>
        <v>3000000</v>
      </c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>
        <f>+'[6]JUNIO 2016'!$G$1784</f>
        <v>3000000</v>
      </c>
      <c r="AW63" s="25">
        <f t="shared" si="3"/>
        <v>0</v>
      </c>
      <c r="AX63" s="24">
        <f t="shared" si="79"/>
        <v>0</v>
      </c>
      <c r="AY63" s="24">
        <f t="shared" si="80"/>
        <v>0</v>
      </c>
      <c r="AZ63" s="24">
        <f t="shared" si="80"/>
        <v>0</v>
      </c>
      <c r="BA63" s="24">
        <f t="shared" si="80"/>
        <v>0</v>
      </c>
      <c r="BB63" s="24">
        <f t="shared" si="81"/>
        <v>0</v>
      </c>
      <c r="BC63" s="24">
        <f t="shared" si="81"/>
        <v>0</v>
      </c>
      <c r="BD63" s="24">
        <f t="shared" si="81"/>
        <v>0</v>
      </c>
      <c r="BE63" s="24">
        <f t="shared" si="81"/>
        <v>0</v>
      </c>
      <c r="BF63" s="24">
        <f t="shared" si="81"/>
        <v>0</v>
      </c>
      <c r="BG63" s="24">
        <f t="shared" si="81"/>
        <v>0</v>
      </c>
      <c r="BH63" s="24">
        <f t="shared" si="81"/>
        <v>0</v>
      </c>
      <c r="BI63" s="24">
        <f t="shared" si="81"/>
        <v>0</v>
      </c>
      <c r="BJ63" s="24">
        <f t="shared" si="81"/>
        <v>0</v>
      </c>
      <c r="BK63" s="24">
        <f t="shared" si="81"/>
        <v>0</v>
      </c>
      <c r="BL63" s="24">
        <f t="shared" si="81"/>
        <v>0</v>
      </c>
      <c r="BM63" s="24">
        <f t="shared" si="81"/>
        <v>0</v>
      </c>
      <c r="BN63" s="24"/>
      <c r="BO63" s="24"/>
      <c r="BP63" s="24">
        <f t="shared" si="82"/>
        <v>0</v>
      </c>
      <c r="BQ63" s="24">
        <f t="shared" si="83"/>
        <v>0</v>
      </c>
      <c r="BR63" s="25">
        <f t="shared" si="10"/>
        <v>1</v>
      </c>
      <c r="BS63" s="24">
        <f t="shared" si="84"/>
        <v>3000000</v>
      </c>
      <c r="BT63" s="24"/>
      <c r="BU63" s="24"/>
      <c r="BV63" s="24"/>
      <c r="BW63" s="24"/>
      <c r="BX63" s="24"/>
      <c r="BY63" s="24"/>
      <c r="BZ63" s="24"/>
      <c r="CA63" s="24"/>
      <c r="CB63" s="24"/>
      <c r="CC63" s="24"/>
      <c r="CD63" s="24"/>
      <c r="CE63" s="24"/>
      <c r="CF63" s="24"/>
      <c r="CG63" s="24"/>
      <c r="CH63" s="24"/>
      <c r="CI63" s="24"/>
      <c r="CJ63" s="24"/>
      <c r="CK63" s="24"/>
      <c r="CL63" s="24"/>
      <c r="CM63" s="24">
        <f>+'[6]JUNIO 2016'!$H$1784</f>
        <v>3000000</v>
      </c>
      <c r="CN63" s="25">
        <f t="shared" si="85"/>
        <v>0</v>
      </c>
      <c r="CO63" s="24">
        <f t="shared" si="86"/>
        <v>0</v>
      </c>
      <c r="CP63" s="24">
        <f t="shared" si="87"/>
        <v>0</v>
      </c>
      <c r="CQ63" s="24">
        <f t="shared" si="87"/>
        <v>0</v>
      </c>
      <c r="CR63" s="24">
        <f t="shared" si="87"/>
        <v>0</v>
      </c>
      <c r="CS63" s="24">
        <f t="shared" si="87"/>
        <v>0</v>
      </c>
      <c r="CT63" s="24">
        <f t="shared" si="87"/>
        <v>0</v>
      </c>
      <c r="CU63" s="24">
        <f t="shared" si="87"/>
        <v>0</v>
      </c>
      <c r="CV63" s="24">
        <f t="shared" si="88"/>
        <v>0</v>
      </c>
      <c r="CW63" s="24">
        <f t="shared" si="88"/>
        <v>0</v>
      </c>
      <c r="CX63" s="24">
        <f t="shared" si="88"/>
        <v>0</v>
      </c>
      <c r="CY63" s="24">
        <f t="shared" si="89"/>
        <v>0</v>
      </c>
      <c r="CZ63" s="24">
        <f t="shared" si="89"/>
        <v>0</v>
      </c>
      <c r="DA63" s="24">
        <f t="shared" si="89"/>
        <v>0</v>
      </c>
      <c r="DB63" s="24">
        <f t="shared" si="90"/>
        <v>0</v>
      </c>
      <c r="DC63" s="24">
        <f t="shared" si="90"/>
        <v>0</v>
      </c>
      <c r="DD63" s="24">
        <f t="shared" si="90"/>
        <v>0</v>
      </c>
      <c r="DE63" s="24"/>
      <c r="DF63" s="24">
        <f t="shared" si="91"/>
        <v>0</v>
      </c>
      <c r="DG63" s="54">
        <f t="shared" si="91"/>
        <v>0</v>
      </c>
      <c r="DH63" s="24">
        <f t="shared" si="91"/>
        <v>0</v>
      </c>
      <c r="DJ63" s="29">
        <f t="shared" si="54"/>
        <v>3000000</v>
      </c>
      <c r="DK63" s="29">
        <f t="shared" si="20"/>
        <v>3000000</v>
      </c>
      <c r="DL63" s="29">
        <f t="shared" si="21"/>
        <v>3000000</v>
      </c>
    </row>
    <row r="64" spans="1:116" ht="34.5" customHeight="1" x14ac:dyDescent="0.25">
      <c r="A64" s="229"/>
      <c r="B64" s="63" t="s">
        <v>193</v>
      </c>
      <c r="C64" s="20" t="s">
        <v>194</v>
      </c>
      <c r="D64" s="21" t="s">
        <v>195</v>
      </c>
      <c r="E64" s="22">
        <v>520</v>
      </c>
      <c r="F64" s="23" t="s">
        <v>91</v>
      </c>
      <c r="G64" s="24">
        <f t="shared" si="78"/>
        <v>20000000</v>
      </c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>
        <v>20000000</v>
      </c>
      <c r="T64" s="24"/>
      <c r="U64" s="24"/>
      <c r="V64" s="24"/>
      <c r="W64" s="24"/>
      <c r="X64" s="24"/>
      <c r="Y64" s="24"/>
      <c r="Z64" s="24"/>
      <c r="AA64" s="25">
        <f t="shared" si="1"/>
        <v>0.84690584999999996</v>
      </c>
      <c r="AB64" s="24">
        <f t="shared" si="92"/>
        <v>16938117</v>
      </c>
      <c r="AC64" s="24"/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4"/>
      <c r="AO64" s="24">
        <f>+'[1]SEPTIEMBRE 2016'!$W$3060</f>
        <v>16938117</v>
      </c>
      <c r="AP64" s="24"/>
      <c r="AQ64" s="24"/>
      <c r="AR64" s="24"/>
      <c r="AS64" s="24"/>
      <c r="AT64" s="24"/>
      <c r="AU64" s="24"/>
      <c r="AV64" s="24"/>
      <c r="AW64" s="25">
        <f t="shared" si="3"/>
        <v>0.15309415000000004</v>
      </c>
      <c r="AX64" s="24">
        <f t="shared" si="79"/>
        <v>3061883</v>
      </c>
      <c r="AY64" s="24">
        <f t="shared" si="80"/>
        <v>0</v>
      </c>
      <c r="AZ64" s="24">
        <f t="shared" si="80"/>
        <v>0</v>
      </c>
      <c r="BA64" s="24">
        <f t="shared" si="80"/>
        <v>0</v>
      </c>
      <c r="BB64" s="24">
        <f t="shared" si="81"/>
        <v>0</v>
      </c>
      <c r="BC64" s="24">
        <f t="shared" si="81"/>
        <v>0</v>
      </c>
      <c r="BD64" s="24">
        <f t="shared" si="81"/>
        <v>0</v>
      </c>
      <c r="BE64" s="24">
        <f t="shared" si="81"/>
        <v>0</v>
      </c>
      <c r="BF64" s="24">
        <f t="shared" si="81"/>
        <v>0</v>
      </c>
      <c r="BG64" s="24">
        <f t="shared" si="81"/>
        <v>0</v>
      </c>
      <c r="BH64" s="24">
        <f t="shared" si="81"/>
        <v>0</v>
      </c>
      <c r="BI64" s="24">
        <f t="shared" si="81"/>
        <v>0</v>
      </c>
      <c r="BJ64" s="24">
        <f t="shared" si="81"/>
        <v>3061883</v>
      </c>
      <c r="BK64" s="24">
        <f t="shared" si="81"/>
        <v>0</v>
      </c>
      <c r="BL64" s="24">
        <f t="shared" si="81"/>
        <v>0</v>
      </c>
      <c r="BM64" s="24">
        <f t="shared" si="81"/>
        <v>0</v>
      </c>
      <c r="BN64" s="24"/>
      <c r="BO64" s="24">
        <f>+X64-AT64</f>
        <v>0</v>
      </c>
      <c r="BP64" s="24">
        <f t="shared" si="82"/>
        <v>0</v>
      </c>
      <c r="BQ64" s="24">
        <f t="shared" si="83"/>
        <v>0</v>
      </c>
      <c r="BR64" s="25">
        <f t="shared" si="10"/>
        <v>0.8357021</v>
      </c>
      <c r="BS64" s="24">
        <f t="shared" si="84"/>
        <v>16714042</v>
      </c>
      <c r="BT64" s="24"/>
      <c r="BU64" s="24"/>
      <c r="BV64" s="24"/>
      <c r="BW64" s="24"/>
      <c r="BX64" s="24"/>
      <c r="BY64" s="24"/>
      <c r="BZ64" s="24"/>
      <c r="CA64" s="24"/>
      <c r="CB64" s="24"/>
      <c r="CC64" s="24"/>
      <c r="CD64" s="24"/>
      <c r="CE64" s="24"/>
      <c r="CF64" s="24">
        <f>+'[1]SEPTIEMBRE 2016'!$H$3058</f>
        <v>16714042</v>
      </c>
      <c r="CG64" s="24"/>
      <c r="CH64" s="24"/>
      <c r="CI64" s="24"/>
      <c r="CJ64" s="24"/>
      <c r="CK64" s="24"/>
      <c r="CL64" s="24"/>
      <c r="CM64" s="24"/>
      <c r="CN64" s="25">
        <f t="shared" si="85"/>
        <v>0.1642979</v>
      </c>
      <c r="CO64" s="24">
        <f t="shared" si="86"/>
        <v>3285958</v>
      </c>
      <c r="CP64" s="24">
        <f t="shared" si="87"/>
        <v>0</v>
      </c>
      <c r="CQ64" s="24">
        <f t="shared" si="87"/>
        <v>0</v>
      </c>
      <c r="CR64" s="24">
        <f t="shared" si="87"/>
        <v>0</v>
      </c>
      <c r="CS64" s="24">
        <f t="shared" si="87"/>
        <v>0</v>
      </c>
      <c r="CT64" s="24">
        <f t="shared" si="87"/>
        <v>0</v>
      </c>
      <c r="CU64" s="24">
        <f t="shared" si="87"/>
        <v>0</v>
      </c>
      <c r="CV64" s="24">
        <f t="shared" si="88"/>
        <v>0</v>
      </c>
      <c r="CW64" s="24">
        <f t="shared" si="88"/>
        <v>0</v>
      </c>
      <c r="CX64" s="24">
        <f t="shared" si="88"/>
        <v>0</v>
      </c>
      <c r="CY64" s="24">
        <f t="shared" si="89"/>
        <v>0</v>
      </c>
      <c r="CZ64" s="24">
        <f t="shared" si="89"/>
        <v>0</v>
      </c>
      <c r="DA64" s="24">
        <f t="shared" si="89"/>
        <v>3285958</v>
      </c>
      <c r="DB64" s="24">
        <f t="shared" si="90"/>
        <v>0</v>
      </c>
      <c r="DC64" s="24">
        <f t="shared" si="90"/>
        <v>0</v>
      </c>
      <c r="DD64" s="24">
        <f t="shared" si="90"/>
        <v>0</v>
      </c>
      <c r="DE64" s="24"/>
      <c r="DF64" s="24">
        <f t="shared" si="91"/>
        <v>0</v>
      </c>
      <c r="DG64" s="54">
        <f t="shared" si="91"/>
        <v>0</v>
      </c>
      <c r="DH64" s="24">
        <f t="shared" si="91"/>
        <v>0</v>
      </c>
      <c r="DJ64" s="29">
        <f t="shared" si="54"/>
        <v>20000000</v>
      </c>
      <c r="DK64" s="29">
        <f t="shared" si="20"/>
        <v>20000000</v>
      </c>
      <c r="DL64" s="29">
        <f t="shared" si="21"/>
        <v>20000000</v>
      </c>
    </row>
    <row r="65" spans="1:116" ht="36.75" customHeight="1" x14ac:dyDescent="0.25">
      <c r="A65" s="229"/>
      <c r="B65" s="231" t="s">
        <v>196</v>
      </c>
      <c r="C65" s="20" t="s">
        <v>197</v>
      </c>
      <c r="D65" s="21" t="s">
        <v>198</v>
      </c>
      <c r="E65" s="22">
        <v>520</v>
      </c>
      <c r="F65" s="23" t="s">
        <v>91</v>
      </c>
      <c r="G65" s="24">
        <f t="shared" si="78"/>
        <v>115000000</v>
      </c>
      <c r="H65" s="33"/>
      <c r="I65" s="33"/>
      <c r="J65" s="33"/>
      <c r="K65" s="24">
        <f>228450721-133450721</f>
        <v>95000000</v>
      </c>
      <c r="L65" s="24"/>
      <c r="M65" s="24"/>
      <c r="N65" s="24"/>
      <c r="O65" s="24"/>
      <c r="P65" s="24"/>
      <c r="Q65" s="24"/>
      <c r="R65" s="24"/>
      <c r="S65" s="24">
        <f>20000000</f>
        <v>20000000</v>
      </c>
      <c r="T65" s="24"/>
      <c r="U65" s="24"/>
      <c r="V65" s="24"/>
      <c r="W65" s="24"/>
      <c r="X65" s="24"/>
      <c r="Y65" s="24"/>
      <c r="Z65" s="24"/>
      <c r="AA65" s="25">
        <f t="shared" si="1"/>
        <v>0.57434843478260866</v>
      </c>
      <c r="AB65" s="24">
        <f t="shared" si="92"/>
        <v>66050070</v>
      </c>
      <c r="AC65" s="24"/>
      <c r="AD65" s="24"/>
      <c r="AE65" s="24"/>
      <c r="AF65" s="24"/>
      <c r="AG65" s="24">
        <f>+'[1]SEPTIEMBRE 2016'!$O$3089</f>
        <v>48608440</v>
      </c>
      <c r="AH65" s="24"/>
      <c r="AI65" s="24"/>
      <c r="AJ65" s="24"/>
      <c r="AK65" s="24"/>
      <c r="AL65" s="24"/>
      <c r="AM65" s="24"/>
      <c r="AN65" s="24"/>
      <c r="AO65" s="24">
        <f>+'[1]SEPTIEMBRE 2016'!$W$3089</f>
        <v>17441630</v>
      </c>
      <c r="AP65" s="24"/>
      <c r="AQ65" s="24"/>
      <c r="AR65" s="24"/>
      <c r="AS65" s="24"/>
      <c r="AT65" s="24"/>
      <c r="AU65" s="24"/>
      <c r="AV65" s="24"/>
      <c r="AW65" s="25">
        <f t="shared" si="3"/>
        <v>0.42565156521739134</v>
      </c>
      <c r="AX65" s="24">
        <f t="shared" si="79"/>
        <v>48949930</v>
      </c>
      <c r="AY65" s="24">
        <f t="shared" si="80"/>
        <v>0</v>
      </c>
      <c r="AZ65" s="24">
        <f t="shared" si="80"/>
        <v>0</v>
      </c>
      <c r="BA65" s="24">
        <f t="shared" si="80"/>
        <v>0</v>
      </c>
      <c r="BB65" s="24">
        <f t="shared" si="81"/>
        <v>46391560</v>
      </c>
      <c r="BC65" s="24">
        <f t="shared" si="81"/>
        <v>0</v>
      </c>
      <c r="BD65" s="24">
        <f t="shared" si="81"/>
        <v>0</v>
      </c>
      <c r="BE65" s="24">
        <f>N65-AJ65</f>
        <v>0</v>
      </c>
      <c r="BF65" s="24">
        <f t="shared" si="81"/>
        <v>0</v>
      </c>
      <c r="BG65" s="24">
        <f t="shared" si="81"/>
        <v>0</v>
      </c>
      <c r="BH65" s="24">
        <f t="shared" si="81"/>
        <v>0</v>
      </c>
      <c r="BI65" s="24">
        <f t="shared" si="81"/>
        <v>0</v>
      </c>
      <c r="BJ65" s="24">
        <f t="shared" si="81"/>
        <v>2558370</v>
      </c>
      <c r="BK65" s="24">
        <f>T65-AP65</f>
        <v>0</v>
      </c>
      <c r="BL65" s="24">
        <f t="shared" si="81"/>
        <v>0</v>
      </c>
      <c r="BM65" s="24">
        <f t="shared" si="81"/>
        <v>0</v>
      </c>
      <c r="BN65" s="24"/>
      <c r="BO65" s="24"/>
      <c r="BP65" s="24">
        <f t="shared" si="82"/>
        <v>0</v>
      </c>
      <c r="BQ65" s="24">
        <f t="shared" si="83"/>
        <v>0</v>
      </c>
      <c r="BR65" s="25">
        <f t="shared" si="10"/>
        <v>0.57153591304347828</v>
      </c>
      <c r="BS65" s="24">
        <f t="shared" si="84"/>
        <v>65726630</v>
      </c>
      <c r="BT65" s="24"/>
      <c r="BU65" s="24"/>
      <c r="BV65" s="24"/>
      <c r="BW65" s="24"/>
      <c r="BX65" s="24">
        <f>+'[1]SEPTIEMBRE 2016'!$H$3090+'[1]SEPTIEMBRE 2016'!$H$3093+'[1]SEPTIEMBRE 2016'!$H$3095+'[1]SEPTIEMBRE 2016'!$H$3100</f>
        <v>48285000</v>
      </c>
      <c r="BY65" s="24"/>
      <c r="BZ65" s="24"/>
      <c r="CA65" s="24"/>
      <c r="CB65" s="24"/>
      <c r="CC65" s="24"/>
      <c r="CD65" s="24"/>
      <c r="CE65" s="24"/>
      <c r="CF65" s="24">
        <f>+'[1]SEPTIEMBRE 2016'!$H$3087-BX65</f>
        <v>17441630</v>
      </c>
      <c r="CG65" s="24"/>
      <c r="CH65" s="24"/>
      <c r="CI65" s="24"/>
      <c r="CJ65" s="24"/>
      <c r="CK65" s="24"/>
      <c r="CL65" s="24"/>
      <c r="CM65" s="24"/>
      <c r="CN65" s="25">
        <f t="shared" si="85"/>
        <v>0.42846408695652172</v>
      </c>
      <c r="CO65" s="24">
        <f t="shared" si="86"/>
        <v>49273370</v>
      </c>
      <c r="CP65" s="24">
        <f t="shared" si="87"/>
        <v>0</v>
      </c>
      <c r="CQ65" s="24">
        <f t="shared" si="87"/>
        <v>0</v>
      </c>
      <c r="CR65" s="24">
        <f t="shared" si="87"/>
        <v>0</v>
      </c>
      <c r="CS65" s="24">
        <f t="shared" si="87"/>
        <v>46715000</v>
      </c>
      <c r="CT65" s="24">
        <f t="shared" si="87"/>
        <v>0</v>
      </c>
      <c r="CU65" s="24">
        <f t="shared" si="87"/>
        <v>0</v>
      </c>
      <c r="CV65" s="24">
        <f t="shared" si="88"/>
        <v>0</v>
      </c>
      <c r="CW65" s="24">
        <f t="shared" si="88"/>
        <v>0</v>
      </c>
      <c r="CX65" s="24">
        <f t="shared" si="88"/>
        <v>0</v>
      </c>
      <c r="CY65" s="24">
        <f t="shared" si="89"/>
        <v>0</v>
      </c>
      <c r="CZ65" s="24">
        <f t="shared" si="89"/>
        <v>0</v>
      </c>
      <c r="DA65" s="24">
        <f t="shared" si="89"/>
        <v>2558370</v>
      </c>
      <c r="DB65" s="24">
        <f t="shared" si="90"/>
        <v>0</v>
      </c>
      <c r="DC65" s="24">
        <f t="shared" si="90"/>
        <v>0</v>
      </c>
      <c r="DD65" s="24">
        <f t="shared" si="90"/>
        <v>0</v>
      </c>
      <c r="DE65" s="24"/>
      <c r="DF65" s="24">
        <f t="shared" si="91"/>
        <v>0</v>
      </c>
      <c r="DG65" s="54">
        <f t="shared" si="91"/>
        <v>0</v>
      </c>
      <c r="DH65" s="24">
        <f t="shared" si="91"/>
        <v>0</v>
      </c>
      <c r="DJ65" s="29">
        <f t="shared" si="54"/>
        <v>115000000</v>
      </c>
      <c r="DK65" s="29">
        <f t="shared" si="20"/>
        <v>115000000</v>
      </c>
      <c r="DL65" s="29">
        <f t="shared" si="21"/>
        <v>115000000</v>
      </c>
    </row>
    <row r="66" spans="1:116" ht="33.75" customHeight="1" x14ac:dyDescent="0.25">
      <c r="A66" s="229"/>
      <c r="B66" s="232"/>
      <c r="C66" s="20" t="s">
        <v>199</v>
      </c>
      <c r="D66" s="21" t="s">
        <v>200</v>
      </c>
      <c r="E66" s="22">
        <v>520</v>
      </c>
      <c r="F66" s="23" t="s">
        <v>91</v>
      </c>
      <c r="G66" s="24">
        <f t="shared" si="78"/>
        <v>405901442</v>
      </c>
      <c r="H66" s="45"/>
      <c r="I66" s="33"/>
      <c r="J66" s="33"/>
      <c r="K66" s="24">
        <f>28450721+133450721</f>
        <v>161901442</v>
      </c>
      <c r="L66" s="24"/>
      <c r="M66" s="24"/>
      <c r="N66" s="24"/>
      <c r="O66" s="24"/>
      <c r="P66" s="24"/>
      <c r="Q66" s="24"/>
      <c r="R66" s="24">
        <f>200000000+44000000</f>
        <v>244000000</v>
      </c>
      <c r="S66" s="24"/>
      <c r="T66" s="24"/>
      <c r="U66" s="24"/>
      <c r="V66" s="24"/>
      <c r="W66" s="24"/>
      <c r="X66" s="24"/>
      <c r="Y66" s="24"/>
      <c r="Z66" s="24"/>
      <c r="AA66" s="25">
        <f t="shared" si="1"/>
        <v>0.7618858373013615</v>
      </c>
      <c r="AB66" s="24">
        <f t="shared" si="92"/>
        <v>309250560</v>
      </c>
      <c r="AC66" s="24"/>
      <c r="AD66" s="24"/>
      <c r="AE66" s="24"/>
      <c r="AF66" s="24"/>
      <c r="AG66" s="24">
        <f>+'[1]SEPTIEMBRE 2016'!$O$3105</f>
        <v>122148569</v>
      </c>
      <c r="AH66" s="24"/>
      <c r="AI66" s="24"/>
      <c r="AJ66" s="24"/>
      <c r="AK66" s="24"/>
      <c r="AL66" s="24"/>
      <c r="AM66" s="24"/>
      <c r="AN66" s="24">
        <f>+'[4]AGOSTO 2016'!$V$2654</f>
        <v>187101991</v>
      </c>
      <c r="AO66" s="24"/>
      <c r="AP66" s="24"/>
      <c r="AQ66" s="24"/>
      <c r="AR66" s="24"/>
      <c r="AS66" s="24"/>
      <c r="AT66" s="24"/>
      <c r="AU66" s="24"/>
      <c r="AV66" s="24"/>
      <c r="AW66" s="25">
        <f t="shared" si="3"/>
        <v>0.2381141626986385</v>
      </c>
      <c r="AX66" s="24">
        <f t="shared" si="79"/>
        <v>96650882</v>
      </c>
      <c r="AY66" s="24">
        <f t="shared" si="80"/>
        <v>0</v>
      </c>
      <c r="AZ66" s="24">
        <f t="shared" si="80"/>
        <v>0</v>
      </c>
      <c r="BA66" s="24">
        <f t="shared" si="80"/>
        <v>0</v>
      </c>
      <c r="BB66" s="24">
        <f t="shared" si="81"/>
        <v>39752873</v>
      </c>
      <c r="BC66" s="24">
        <f t="shared" si="81"/>
        <v>0</v>
      </c>
      <c r="BD66" s="24">
        <f t="shared" si="81"/>
        <v>0</v>
      </c>
      <c r="BE66" s="24">
        <f>N66-AJ66</f>
        <v>0</v>
      </c>
      <c r="BF66" s="24">
        <f t="shared" si="81"/>
        <v>0</v>
      </c>
      <c r="BG66" s="24">
        <f t="shared" si="81"/>
        <v>0</v>
      </c>
      <c r="BH66" s="24">
        <f t="shared" si="81"/>
        <v>0</v>
      </c>
      <c r="BI66" s="24">
        <f t="shared" si="81"/>
        <v>56898009</v>
      </c>
      <c r="BJ66" s="24">
        <f t="shared" si="81"/>
        <v>0</v>
      </c>
      <c r="BK66" s="24">
        <f>T66-AP66</f>
        <v>0</v>
      </c>
      <c r="BL66" s="24">
        <f t="shared" si="81"/>
        <v>0</v>
      </c>
      <c r="BM66" s="24">
        <f t="shared" si="81"/>
        <v>0</v>
      </c>
      <c r="BN66" s="24"/>
      <c r="BO66" s="24"/>
      <c r="BP66" s="24">
        <f t="shared" si="82"/>
        <v>0</v>
      </c>
      <c r="BQ66" s="24">
        <f t="shared" si="83"/>
        <v>0</v>
      </c>
      <c r="BR66" s="25">
        <f t="shared" si="10"/>
        <v>0.75357296710465982</v>
      </c>
      <c r="BS66" s="24">
        <f t="shared" si="84"/>
        <v>305876354</v>
      </c>
      <c r="BT66" s="24"/>
      <c r="BU66" s="24"/>
      <c r="BV66" s="24"/>
      <c r="BW66" s="24"/>
      <c r="BX66" s="24">
        <f>+'[1]SEPTIEMBRE 2016'!$H$3106+'[1]SEPTIEMBRE 2016'!$H$3137+'[1]SEPTIEMBRE 2016'!$H$3139+'[1]SEPTIEMBRE 2016'!$H$3140+'[1]SEPTIEMBRE 2016'!$H$3141+'[1]SEPTIEMBRE 2016'!$H$3142+'[1]SEPTIEMBRE 2016'!$H$3143+'[1]SEPTIEMBRE 2016'!$H$3146+'[1]SEPTIEMBRE 2016'!$H$3147+'[1]SEPTIEMBRE 2016'!$H$3148+'[1]SEPTIEMBRE 2016'!$H$3149+'[1]SEPTIEMBRE 2016'!$H$3150+'[1]SEPTIEMBRE 2016'!$H$3151+'[1]SEPTIEMBRE 2016'!$H$3152+'[1]SEPTIEMBRE 2016'!$H$3154+'[1]SEPTIEMBRE 2016'!$H$3159+'[1]SEPTIEMBRE 2016'!$H$3160+'[1]SEPTIEMBRE 2016'!$H$3161+'[1]SEPTIEMBRE 2016'!$H$3185+'[1]SEPTIEMBRE 2016'!$H$3186+'[1]SEPTIEMBRE 2016'!$H$3188+'[1]SEPTIEMBRE 2016'!$H$3189+'[1]SEPTIEMBRE 2016'!$H$3190+'[1]SEPTIEMBRE 2016'!$H$3191+'[1]SEPTIEMBRE 2016'!$H$3192+'[1]SEPTIEMBRE 2016'!$H$3193+'[1]SEPTIEMBRE 2016'!$H$3194+'[1]SEPTIEMBRE 2016'!$H$3195+'[1]SEPTIEMBRE 2016'!$H$3198+'[1]SEPTIEMBRE 2016'!$H$3199+'[1]SEPTIEMBRE 2016'!$H$3200+'[1]SEPTIEMBRE 2016'!$H$3214+'[1]SEPTIEMBRE 2016'!$H$3215+'[1]SEPTIEMBRE 2016'!$H$3216+'[1]SEPTIEMBRE 2016'!$H$3218+'[1]SEPTIEMBRE 2016'!$H$3221+'[1]SEPTIEMBRE 2016'!$H$3222+'[1]SEPTIEMBRE 2016'!$H$3223+'[1]SEPTIEMBRE 2016'!$H$3224+'[1]SEPTIEMBRE 2016'!$H$3225+'[1]SEPTIEMBRE 2016'!$H$3226+'[1]SEPTIEMBRE 2016'!$H$3227+'[1]SEPTIEMBRE 2016'!$H$3228+'[1]SEPTIEMBRE 2016'!$H$3229+'[1]SEPTIEMBRE 2016'!$H$3230</f>
        <v>120500740</v>
      </c>
      <c r="BY66" s="24"/>
      <c r="BZ66" s="24"/>
      <c r="CA66" s="24"/>
      <c r="CB66" s="24"/>
      <c r="CC66" s="24"/>
      <c r="CD66" s="24"/>
      <c r="CE66" s="24">
        <f>+'[1]SEPTIEMBRE 2016'!$H$3103-BX66</f>
        <v>185375614</v>
      </c>
      <c r="CF66" s="24"/>
      <c r="CG66" s="24"/>
      <c r="CH66" s="24"/>
      <c r="CI66" s="24"/>
      <c r="CJ66" s="24"/>
      <c r="CK66" s="24"/>
      <c r="CL66" s="24"/>
      <c r="CM66" s="24"/>
      <c r="CN66" s="25">
        <f t="shared" si="85"/>
        <v>0.24642703289534018</v>
      </c>
      <c r="CO66" s="24">
        <f t="shared" si="86"/>
        <v>100025088</v>
      </c>
      <c r="CP66" s="24">
        <f t="shared" si="87"/>
        <v>0</v>
      </c>
      <c r="CQ66" s="24">
        <f t="shared" si="87"/>
        <v>0</v>
      </c>
      <c r="CR66" s="24">
        <f t="shared" si="87"/>
        <v>0</v>
      </c>
      <c r="CS66" s="24">
        <f t="shared" si="87"/>
        <v>41400702</v>
      </c>
      <c r="CT66" s="24">
        <f t="shared" si="87"/>
        <v>0</v>
      </c>
      <c r="CU66" s="24">
        <f t="shared" si="87"/>
        <v>0</v>
      </c>
      <c r="CV66" s="24">
        <f t="shared" si="88"/>
        <v>0</v>
      </c>
      <c r="CW66" s="24">
        <f t="shared" si="88"/>
        <v>0</v>
      </c>
      <c r="CX66" s="24">
        <f t="shared" si="88"/>
        <v>0</v>
      </c>
      <c r="CY66" s="24">
        <f t="shared" si="89"/>
        <v>0</v>
      </c>
      <c r="CZ66" s="24">
        <f t="shared" si="89"/>
        <v>58624386</v>
      </c>
      <c r="DA66" s="24">
        <f t="shared" si="89"/>
        <v>0</v>
      </c>
      <c r="DB66" s="24">
        <f t="shared" si="90"/>
        <v>0</v>
      </c>
      <c r="DC66" s="24">
        <f t="shared" si="90"/>
        <v>0</v>
      </c>
      <c r="DD66" s="24">
        <f t="shared" si="90"/>
        <v>0</v>
      </c>
      <c r="DE66" s="24"/>
      <c r="DF66" s="24">
        <f t="shared" si="91"/>
        <v>0</v>
      </c>
      <c r="DG66" s="54">
        <f t="shared" si="91"/>
        <v>0</v>
      </c>
      <c r="DH66" s="24">
        <f t="shared" si="91"/>
        <v>0</v>
      </c>
      <c r="DJ66" s="29">
        <f t="shared" si="54"/>
        <v>405901442</v>
      </c>
      <c r="DK66" s="29">
        <f t="shared" si="20"/>
        <v>405901442</v>
      </c>
      <c r="DL66" s="29">
        <f t="shared" si="21"/>
        <v>405901442</v>
      </c>
    </row>
    <row r="67" spans="1:116" ht="30.75" customHeight="1" x14ac:dyDescent="0.25">
      <c r="A67" s="229"/>
      <c r="B67" s="232"/>
      <c r="C67" s="20" t="s">
        <v>201</v>
      </c>
      <c r="D67" s="21" t="s">
        <v>202</v>
      </c>
      <c r="E67" s="22">
        <v>520</v>
      </c>
      <c r="F67" s="23" t="s">
        <v>203</v>
      </c>
      <c r="G67" s="24">
        <f t="shared" si="78"/>
        <v>11000000</v>
      </c>
      <c r="H67" s="33"/>
      <c r="I67" s="33"/>
      <c r="J67" s="33"/>
      <c r="K67" s="33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>
        <f>8000000+3000000</f>
        <v>11000000</v>
      </c>
      <c r="AA67" s="25">
        <f t="shared" si="1"/>
        <v>0.72727272727272729</v>
      </c>
      <c r="AB67" s="24">
        <f t="shared" si="92"/>
        <v>8000000</v>
      </c>
      <c r="AC67" s="24"/>
      <c r="AD67" s="24"/>
      <c r="AE67" s="24"/>
      <c r="AF67" s="24"/>
      <c r="AG67" s="24"/>
      <c r="AH67" s="24"/>
      <c r="AI67" s="24"/>
      <c r="AJ67" s="24"/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>
        <f>+'[6]JUNIO 2016'!$AG$1918</f>
        <v>8000000</v>
      </c>
      <c r="AW67" s="25">
        <f t="shared" si="3"/>
        <v>0.27272727272727271</v>
      </c>
      <c r="AX67" s="24">
        <f t="shared" si="79"/>
        <v>3000000</v>
      </c>
      <c r="AY67" s="24">
        <f t="shared" si="80"/>
        <v>0</v>
      </c>
      <c r="AZ67" s="24">
        <f t="shared" si="80"/>
        <v>0</v>
      </c>
      <c r="BA67" s="24">
        <f t="shared" si="80"/>
        <v>0</v>
      </c>
      <c r="BB67" s="24">
        <f t="shared" si="81"/>
        <v>0</v>
      </c>
      <c r="BC67" s="24">
        <f t="shared" si="81"/>
        <v>0</v>
      </c>
      <c r="BD67" s="24">
        <f t="shared" si="81"/>
        <v>0</v>
      </c>
      <c r="BE67" s="24">
        <f>N67-AJ67</f>
        <v>0</v>
      </c>
      <c r="BF67" s="24">
        <f t="shared" si="81"/>
        <v>0</v>
      </c>
      <c r="BG67" s="24">
        <f t="shared" si="81"/>
        <v>0</v>
      </c>
      <c r="BH67" s="24">
        <f t="shared" si="81"/>
        <v>0</v>
      </c>
      <c r="BI67" s="24">
        <f t="shared" si="81"/>
        <v>0</v>
      </c>
      <c r="BJ67" s="24">
        <f t="shared" si="81"/>
        <v>0</v>
      </c>
      <c r="BK67" s="24">
        <f>T67-AP67</f>
        <v>0</v>
      </c>
      <c r="BL67" s="24">
        <f t="shared" si="81"/>
        <v>0</v>
      </c>
      <c r="BM67" s="24">
        <f t="shared" si="81"/>
        <v>0</v>
      </c>
      <c r="BN67" s="24"/>
      <c r="BO67" s="24"/>
      <c r="BP67" s="24">
        <f t="shared" si="82"/>
        <v>0</v>
      </c>
      <c r="BQ67" s="24">
        <f t="shared" si="83"/>
        <v>3000000</v>
      </c>
      <c r="BR67" s="25">
        <f t="shared" si="10"/>
        <v>0.71506863636363638</v>
      </c>
      <c r="BS67" s="24">
        <f t="shared" si="84"/>
        <v>7865755</v>
      </c>
      <c r="BT67" s="24"/>
      <c r="BU67" s="24"/>
      <c r="BV67" s="24"/>
      <c r="BW67" s="24"/>
      <c r="BX67" s="24"/>
      <c r="BY67" s="24"/>
      <c r="BZ67" s="24"/>
      <c r="CA67" s="24"/>
      <c r="CB67" s="24"/>
      <c r="CC67" s="24"/>
      <c r="CD67" s="24"/>
      <c r="CE67" s="24"/>
      <c r="CF67" s="24"/>
      <c r="CG67" s="24"/>
      <c r="CH67" s="24"/>
      <c r="CI67" s="24"/>
      <c r="CJ67" s="24"/>
      <c r="CK67" s="24"/>
      <c r="CL67" s="24"/>
      <c r="CM67" s="24">
        <f>+'[1]SEPTIEMBRE 2016'!$H$3237</f>
        <v>7865755</v>
      </c>
      <c r="CN67" s="25">
        <f t="shared" si="85"/>
        <v>0.28493136363636362</v>
      </c>
      <c r="CO67" s="24">
        <f t="shared" si="86"/>
        <v>3134245</v>
      </c>
      <c r="CP67" s="24">
        <f t="shared" si="87"/>
        <v>0</v>
      </c>
      <c r="CQ67" s="24">
        <f t="shared" si="87"/>
        <v>0</v>
      </c>
      <c r="CR67" s="24">
        <f t="shared" si="87"/>
        <v>0</v>
      </c>
      <c r="CS67" s="24">
        <f t="shared" si="87"/>
        <v>0</v>
      </c>
      <c r="CT67" s="24">
        <f t="shared" si="87"/>
        <v>0</v>
      </c>
      <c r="CU67" s="24">
        <f t="shared" si="87"/>
        <v>0</v>
      </c>
      <c r="CV67" s="24">
        <f t="shared" si="88"/>
        <v>0</v>
      </c>
      <c r="CW67" s="24">
        <f t="shared" si="88"/>
        <v>0</v>
      </c>
      <c r="CX67" s="24">
        <f t="shared" si="88"/>
        <v>0</v>
      </c>
      <c r="CY67" s="24">
        <f t="shared" si="89"/>
        <v>0</v>
      </c>
      <c r="CZ67" s="24">
        <f t="shared" si="89"/>
        <v>0</v>
      </c>
      <c r="DA67" s="24">
        <f t="shared" si="89"/>
        <v>0</v>
      </c>
      <c r="DB67" s="24">
        <f t="shared" si="90"/>
        <v>0</v>
      </c>
      <c r="DC67" s="24">
        <f t="shared" si="90"/>
        <v>0</v>
      </c>
      <c r="DD67" s="24">
        <f t="shared" si="90"/>
        <v>0</v>
      </c>
      <c r="DE67" s="24"/>
      <c r="DF67" s="24">
        <f t="shared" si="91"/>
        <v>0</v>
      </c>
      <c r="DG67" s="54">
        <f t="shared" si="91"/>
        <v>0</v>
      </c>
      <c r="DH67" s="24">
        <f t="shared" si="91"/>
        <v>3134245</v>
      </c>
      <c r="DJ67" s="29">
        <f t="shared" si="54"/>
        <v>11000000</v>
      </c>
      <c r="DK67" s="29">
        <f t="shared" si="20"/>
        <v>11000000</v>
      </c>
      <c r="DL67" s="29">
        <f t="shared" si="21"/>
        <v>11000000</v>
      </c>
    </row>
    <row r="68" spans="1:116" ht="34.5" customHeight="1" x14ac:dyDescent="0.25">
      <c r="A68" s="229"/>
      <c r="B68" s="232"/>
      <c r="C68" s="20" t="s">
        <v>204</v>
      </c>
      <c r="D68" s="21" t="s">
        <v>205</v>
      </c>
      <c r="E68" s="22">
        <v>520</v>
      </c>
      <c r="F68" s="23" t="s">
        <v>206</v>
      </c>
      <c r="G68" s="24">
        <f t="shared" si="78"/>
        <v>8504663</v>
      </c>
      <c r="H68" s="33"/>
      <c r="I68" s="33"/>
      <c r="J68" s="33"/>
      <c r="K68" s="33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>
        <f>5000000+3504663</f>
        <v>8504663</v>
      </c>
      <c r="AA68" s="25">
        <f t="shared" ref="AA68:AA93" si="93">+AB68/G68</f>
        <v>0.5879127720875007</v>
      </c>
      <c r="AB68" s="24">
        <f t="shared" si="92"/>
        <v>5000000</v>
      </c>
      <c r="AC68" s="24"/>
      <c r="AD68" s="24"/>
      <c r="AE68" s="24"/>
      <c r="AF68" s="24"/>
      <c r="AG68" s="24"/>
      <c r="AH68" s="24"/>
      <c r="AI68" s="24"/>
      <c r="AJ68" s="24"/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>
        <f>+'[7]MAYO 2016'!$AG$1678</f>
        <v>5000000</v>
      </c>
      <c r="AW68" s="25">
        <f t="shared" si="3"/>
        <v>0.4120872279124993</v>
      </c>
      <c r="AX68" s="24">
        <f t="shared" si="79"/>
        <v>3504663</v>
      </c>
      <c r="AY68" s="24">
        <f t="shared" si="80"/>
        <v>0</v>
      </c>
      <c r="AZ68" s="24">
        <f t="shared" si="80"/>
        <v>0</v>
      </c>
      <c r="BA68" s="24">
        <f t="shared" si="80"/>
        <v>0</v>
      </c>
      <c r="BB68" s="24">
        <f t="shared" si="81"/>
        <v>0</v>
      </c>
      <c r="BC68" s="24">
        <f t="shared" si="81"/>
        <v>0</v>
      </c>
      <c r="BD68" s="24">
        <f t="shared" si="81"/>
        <v>0</v>
      </c>
      <c r="BE68" s="24">
        <f>N68-AJ68</f>
        <v>0</v>
      </c>
      <c r="BF68" s="24">
        <f t="shared" si="81"/>
        <v>0</v>
      </c>
      <c r="BG68" s="24">
        <f t="shared" si="81"/>
        <v>0</v>
      </c>
      <c r="BH68" s="24">
        <f t="shared" si="81"/>
        <v>0</v>
      </c>
      <c r="BI68" s="24">
        <f t="shared" si="81"/>
        <v>0</v>
      </c>
      <c r="BJ68" s="24">
        <f t="shared" si="81"/>
        <v>0</v>
      </c>
      <c r="BK68" s="24">
        <f>T68-AP68</f>
        <v>0</v>
      </c>
      <c r="BL68" s="24">
        <f t="shared" si="81"/>
        <v>0</v>
      </c>
      <c r="BM68" s="24">
        <f t="shared" si="81"/>
        <v>0</v>
      </c>
      <c r="BN68" s="24"/>
      <c r="BO68" s="24"/>
      <c r="BP68" s="24">
        <f t="shared" si="82"/>
        <v>0</v>
      </c>
      <c r="BQ68" s="24">
        <f t="shared" si="83"/>
        <v>3504663</v>
      </c>
      <c r="BR68" s="25">
        <f t="shared" ref="BR68:BR93" si="94">+BS68/G68</f>
        <v>0.5871132107174617</v>
      </c>
      <c r="BS68" s="24">
        <f t="shared" si="84"/>
        <v>4993200</v>
      </c>
      <c r="BT68" s="24"/>
      <c r="BU68" s="24"/>
      <c r="BV68" s="24"/>
      <c r="BW68" s="24"/>
      <c r="BX68" s="24"/>
      <c r="BY68" s="24"/>
      <c r="BZ68" s="24"/>
      <c r="CA68" s="24"/>
      <c r="CB68" s="24"/>
      <c r="CC68" s="24"/>
      <c r="CD68" s="24"/>
      <c r="CE68" s="24"/>
      <c r="CF68" s="24"/>
      <c r="CG68" s="24"/>
      <c r="CH68" s="24"/>
      <c r="CI68" s="24"/>
      <c r="CJ68" s="24"/>
      <c r="CK68" s="24"/>
      <c r="CL68" s="24"/>
      <c r="CM68" s="24">
        <f>+'[7]MAYO 2016'!$H$1676</f>
        <v>4993200</v>
      </c>
      <c r="CN68" s="25">
        <f t="shared" si="85"/>
        <v>0.4128867892825383</v>
      </c>
      <c r="CO68" s="24">
        <f t="shared" si="86"/>
        <v>3511463</v>
      </c>
      <c r="CP68" s="24">
        <f t="shared" si="87"/>
        <v>0</v>
      </c>
      <c r="CQ68" s="24">
        <f t="shared" si="87"/>
        <v>0</v>
      </c>
      <c r="CR68" s="24">
        <f t="shared" si="87"/>
        <v>0</v>
      </c>
      <c r="CS68" s="24">
        <f t="shared" si="87"/>
        <v>0</v>
      </c>
      <c r="CT68" s="24">
        <f t="shared" si="87"/>
        <v>0</v>
      </c>
      <c r="CU68" s="24">
        <f t="shared" si="87"/>
        <v>0</v>
      </c>
      <c r="CV68" s="24">
        <f t="shared" si="88"/>
        <v>0</v>
      </c>
      <c r="CW68" s="24">
        <f t="shared" si="88"/>
        <v>0</v>
      </c>
      <c r="CX68" s="24">
        <f t="shared" si="88"/>
        <v>0</v>
      </c>
      <c r="CY68" s="24">
        <f t="shared" si="89"/>
        <v>0</v>
      </c>
      <c r="CZ68" s="24">
        <f t="shared" si="89"/>
        <v>0</v>
      </c>
      <c r="DA68" s="24">
        <f t="shared" si="89"/>
        <v>0</v>
      </c>
      <c r="DB68" s="24">
        <f t="shared" si="90"/>
        <v>0</v>
      </c>
      <c r="DC68" s="24">
        <f t="shared" si="90"/>
        <v>0</v>
      </c>
      <c r="DD68" s="24">
        <f t="shared" si="90"/>
        <v>0</v>
      </c>
      <c r="DE68" s="24"/>
      <c r="DF68" s="24">
        <f t="shared" si="91"/>
        <v>0</v>
      </c>
      <c r="DG68" s="54">
        <f t="shared" si="91"/>
        <v>0</v>
      </c>
      <c r="DH68" s="24">
        <f t="shared" si="91"/>
        <v>3511463</v>
      </c>
      <c r="DJ68" s="29">
        <f t="shared" si="54"/>
        <v>8504663</v>
      </c>
      <c r="DK68" s="29">
        <f t="shared" si="20"/>
        <v>8504663</v>
      </c>
      <c r="DL68" s="29">
        <f t="shared" si="21"/>
        <v>8504663</v>
      </c>
    </row>
    <row r="69" spans="1:116" ht="35.25" customHeight="1" x14ac:dyDescent="0.25">
      <c r="A69" s="229"/>
      <c r="B69" s="232"/>
      <c r="C69" s="20" t="s">
        <v>207</v>
      </c>
      <c r="D69" s="21" t="s">
        <v>208</v>
      </c>
      <c r="E69" s="22">
        <v>520</v>
      </c>
      <c r="F69" s="23" t="s">
        <v>206</v>
      </c>
      <c r="G69" s="24">
        <f t="shared" si="78"/>
        <v>1000000</v>
      </c>
      <c r="H69" s="33"/>
      <c r="I69" s="33"/>
      <c r="J69" s="33"/>
      <c r="K69" s="33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>
        <f>7000000-7000000+1000000</f>
        <v>1000000</v>
      </c>
      <c r="AA69" s="25">
        <f t="shared" si="93"/>
        <v>0</v>
      </c>
      <c r="AB69" s="24">
        <f t="shared" si="92"/>
        <v>0</v>
      </c>
      <c r="AC69" s="24"/>
      <c r="AD69" s="24"/>
      <c r="AE69" s="24"/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5">
        <f t="shared" si="3"/>
        <v>1</v>
      </c>
      <c r="AX69" s="24">
        <f t="shared" si="79"/>
        <v>1000000</v>
      </c>
      <c r="AY69" s="24">
        <f t="shared" si="80"/>
        <v>0</v>
      </c>
      <c r="AZ69" s="24">
        <f t="shared" si="80"/>
        <v>0</v>
      </c>
      <c r="BA69" s="24">
        <f t="shared" si="80"/>
        <v>0</v>
      </c>
      <c r="BB69" s="24">
        <f t="shared" si="81"/>
        <v>0</v>
      </c>
      <c r="BC69" s="24">
        <f t="shared" si="81"/>
        <v>0</v>
      </c>
      <c r="BD69" s="24">
        <f t="shared" si="81"/>
        <v>0</v>
      </c>
      <c r="BE69" s="24">
        <f>+N69-AJ69</f>
        <v>0</v>
      </c>
      <c r="BF69" s="24">
        <f t="shared" si="81"/>
        <v>0</v>
      </c>
      <c r="BG69" s="24">
        <f t="shared" si="81"/>
        <v>0</v>
      </c>
      <c r="BH69" s="24">
        <f t="shared" si="81"/>
        <v>0</v>
      </c>
      <c r="BI69" s="24">
        <f t="shared" si="81"/>
        <v>0</v>
      </c>
      <c r="BJ69" s="24">
        <f t="shared" si="81"/>
        <v>0</v>
      </c>
      <c r="BK69" s="24">
        <f>+T69-AP69</f>
        <v>0</v>
      </c>
      <c r="BL69" s="24">
        <f t="shared" si="81"/>
        <v>0</v>
      </c>
      <c r="BM69" s="24">
        <f t="shared" si="81"/>
        <v>0</v>
      </c>
      <c r="BN69" s="24"/>
      <c r="BO69" s="24">
        <f>+X69-AT69</f>
        <v>0</v>
      </c>
      <c r="BP69" s="24">
        <f t="shared" si="82"/>
        <v>0</v>
      </c>
      <c r="BQ69" s="24">
        <f t="shared" si="83"/>
        <v>1000000</v>
      </c>
      <c r="BR69" s="25">
        <f t="shared" si="94"/>
        <v>0</v>
      </c>
      <c r="BS69" s="24">
        <f t="shared" si="84"/>
        <v>0</v>
      </c>
      <c r="BT69" s="24"/>
      <c r="BU69" s="24"/>
      <c r="BV69" s="24"/>
      <c r="BW69" s="24"/>
      <c r="BX69" s="24"/>
      <c r="BY69" s="24"/>
      <c r="BZ69" s="24"/>
      <c r="CA69" s="24"/>
      <c r="CB69" s="24"/>
      <c r="CC69" s="24"/>
      <c r="CD69" s="24"/>
      <c r="CE69" s="24"/>
      <c r="CF69" s="24"/>
      <c r="CG69" s="24"/>
      <c r="CH69" s="24"/>
      <c r="CI69" s="24"/>
      <c r="CJ69" s="24"/>
      <c r="CK69" s="24"/>
      <c r="CL69" s="24"/>
      <c r="CM69" s="24"/>
      <c r="CN69" s="25">
        <f t="shared" si="85"/>
        <v>1</v>
      </c>
      <c r="CO69" s="24">
        <f t="shared" si="86"/>
        <v>1000000</v>
      </c>
      <c r="CP69" s="24">
        <f t="shared" si="87"/>
        <v>0</v>
      </c>
      <c r="CQ69" s="24">
        <f t="shared" si="87"/>
        <v>0</v>
      </c>
      <c r="CR69" s="24">
        <f t="shared" si="87"/>
        <v>0</v>
      </c>
      <c r="CS69" s="24">
        <f t="shared" si="87"/>
        <v>0</v>
      </c>
      <c r="CT69" s="24">
        <f t="shared" si="87"/>
        <v>0</v>
      </c>
      <c r="CU69" s="24">
        <f t="shared" si="87"/>
        <v>0</v>
      </c>
      <c r="CV69" s="24">
        <f t="shared" si="88"/>
        <v>0</v>
      </c>
      <c r="CW69" s="24">
        <f t="shared" si="88"/>
        <v>0</v>
      </c>
      <c r="CX69" s="24">
        <f t="shared" si="88"/>
        <v>0</v>
      </c>
      <c r="CY69" s="24">
        <f t="shared" si="89"/>
        <v>0</v>
      </c>
      <c r="CZ69" s="24">
        <f t="shared" si="89"/>
        <v>0</v>
      </c>
      <c r="DA69" s="24">
        <f t="shared" si="89"/>
        <v>0</v>
      </c>
      <c r="DB69" s="24">
        <f t="shared" si="90"/>
        <v>0</v>
      </c>
      <c r="DC69" s="24">
        <f t="shared" si="90"/>
        <v>0</v>
      </c>
      <c r="DD69" s="24">
        <f t="shared" si="90"/>
        <v>0</v>
      </c>
      <c r="DE69" s="24"/>
      <c r="DF69" s="24">
        <f t="shared" si="91"/>
        <v>0</v>
      </c>
      <c r="DG69" s="54">
        <f t="shared" si="91"/>
        <v>0</v>
      </c>
      <c r="DH69" s="24">
        <f t="shared" si="91"/>
        <v>1000000</v>
      </c>
      <c r="DJ69" s="29">
        <f t="shared" si="54"/>
        <v>1000000</v>
      </c>
      <c r="DK69" s="29">
        <f t="shared" si="20"/>
        <v>1000000</v>
      </c>
      <c r="DL69" s="29">
        <f t="shared" si="21"/>
        <v>1000000</v>
      </c>
    </row>
    <row r="70" spans="1:116" ht="76.5" customHeight="1" x14ac:dyDescent="0.25">
      <c r="A70" s="229"/>
      <c r="B70" s="232"/>
      <c r="C70" s="20" t="s">
        <v>209</v>
      </c>
      <c r="D70" s="21" t="s">
        <v>210</v>
      </c>
      <c r="E70" s="22">
        <v>520</v>
      </c>
      <c r="F70" s="23" t="s">
        <v>211</v>
      </c>
      <c r="G70" s="24">
        <f t="shared" si="78"/>
        <v>486018694</v>
      </c>
      <c r="H70" s="33"/>
      <c r="I70" s="33"/>
      <c r="J70" s="33"/>
      <c r="K70" s="33"/>
      <c r="L70" s="24"/>
      <c r="M70" s="24"/>
      <c r="N70" s="24"/>
      <c r="O70" s="24"/>
      <c r="P70" s="24"/>
      <c r="Q70" s="24"/>
      <c r="R70" s="24"/>
      <c r="S70" s="24">
        <v>30000000</v>
      </c>
      <c r="T70" s="24"/>
      <c r="U70" s="24"/>
      <c r="V70" s="24"/>
      <c r="W70" s="24"/>
      <c r="X70" s="24"/>
      <c r="Y70" s="24"/>
      <c r="Z70" s="24">
        <f>267022558+25000000+11804220+35899362+2954659+41266345-11804220+4000000+896074+17250000+7067000+8662696+46000000</f>
        <v>456018694</v>
      </c>
      <c r="AA70" s="25">
        <f t="shared" si="93"/>
        <v>0.9168250676382419</v>
      </c>
      <c r="AB70" s="24">
        <f t="shared" si="92"/>
        <v>445594122</v>
      </c>
      <c r="AC70" s="24"/>
      <c r="AD70" s="24"/>
      <c r="AE70" s="24"/>
      <c r="AF70" s="24"/>
      <c r="AG70" s="24"/>
      <c r="AH70" s="24"/>
      <c r="AI70" s="24"/>
      <c r="AJ70" s="24"/>
      <c r="AK70" s="24"/>
      <c r="AL70" s="24"/>
      <c r="AM70" s="24"/>
      <c r="AN70" s="24"/>
      <c r="AO70" s="24">
        <f>+'[1]SEPTIEMBRE 2016'!$W$3281</f>
        <v>13947388</v>
      </c>
      <c r="AP70" s="24"/>
      <c r="AQ70" s="24"/>
      <c r="AR70" s="24"/>
      <c r="AS70" s="24"/>
      <c r="AT70" s="24"/>
      <c r="AU70" s="24"/>
      <c r="AV70" s="24">
        <f>+'[1]SEPTIEMBRE 2016'!$AG$3281</f>
        <v>431646734</v>
      </c>
      <c r="AW70" s="25">
        <f t="shared" ref="AW70:AW93" si="95">1-AA70</f>
        <v>8.3174932361758103E-2</v>
      </c>
      <c r="AX70" s="24">
        <f t="shared" si="79"/>
        <v>40424572</v>
      </c>
      <c r="AY70" s="24">
        <f t="shared" si="80"/>
        <v>0</v>
      </c>
      <c r="AZ70" s="24">
        <f t="shared" si="80"/>
        <v>0</v>
      </c>
      <c r="BA70" s="24">
        <f t="shared" si="80"/>
        <v>0</v>
      </c>
      <c r="BB70" s="24">
        <f t="shared" si="81"/>
        <v>0</v>
      </c>
      <c r="BC70" s="24">
        <f t="shared" si="81"/>
        <v>0</v>
      </c>
      <c r="BD70" s="24">
        <f t="shared" si="81"/>
        <v>0</v>
      </c>
      <c r="BE70" s="24">
        <f>+N70-AJ70</f>
        <v>0</v>
      </c>
      <c r="BF70" s="24">
        <f t="shared" si="81"/>
        <v>0</v>
      </c>
      <c r="BG70" s="24">
        <f t="shared" si="81"/>
        <v>0</v>
      </c>
      <c r="BH70" s="24">
        <f t="shared" si="81"/>
        <v>0</v>
      </c>
      <c r="BI70" s="24">
        <f t="shared" si="81"/>
        <v>0</v>
      </c>
      <c r="BJ70" s="24">
        <f t="shared" si="81"/>
        <v>16052612</v>
      </c>
      <c r="BK70" s="24">
        <f>+T70-AP70</f>
        <v>0</v>
      </c>
      <c r="BL70" s="24">
        <f t="shared" si="81"/>
        <v>0</v>
      </c>
      <c r="BM70" s="24">
        <f t="shared" si="81"/>
        <v>0</v>
      </c>
      <c r="BN70" s="24"/>
      <c r="BO70" s="24"/>
      <c r="BP70" s="24">
        <f t="shared" si="82"/>
        <v>0</v>
      </c>
      <c r="BQ70" s="24">
        <f t="shared" si="83"/>
        <v>24371960</v>
      </c>
      <c r="BR70" s="25">
        <f t="shared" si="94"/>
        <v>0.89408793399210273</v>
      </c>
      <c r="BS70" s="24">
        <f t="shared" si="84"/>
        <v>434543450</v>
      </c>
      <c r="BT70" s="24"/>
      <c r="BU70" s="24"/>
      <c r="BV70" s="24"/>
      <c r="BW70" s="24"/>
      <c r="BX70" s="24"/>
      <c r="BY70" s="24"/>
      <c r="BZ70" s="24"/>
      <c r="CA70" s="24"/>
      <c r="CB70" s="24"/>
      <c r="CC70" s="24"/>
      <c r="CD70" s="24"/>
      <c r="CE70" s="24"/>
      <c r="CF70" s="24">
        <f>+'[1]SEPTIEMBRE 2016'!$H$3395+'[1]SEPTIEMBRE 2016'!$H$3397+'[1]SEPTIEMBRE 2016'!$H$3399</f>
        <v>11224475</v>
      </c>
      <c r="CG70" s="24"/>
      <c r="CH70" s="24"/>
      <c r="CI70" s="24"/>
      <c r="CJ70" s="24"/>
      <c r="CK70" s="24"/>
      <c r="CL70" s="24"/>
      <c r="CM70" s="24">
        <f>+'[1]SEPTIEMBRE 2016'!$H$3279-CF70</f>
        <v>423318975</v>
      </c>
      <c r="CN70" s="25">
        <f t="shared" si="85"/>
        <v>0.10591206600789727</v>
      </c>
      <c r="CO70" s="24">
        <f t="shared" si="86"/>
        <v>51475244</v>
      </c>
      <c r="CP70" s="24">
        <f t="shared" si="87"/>
        <v>0</v>
      </c>
      <c r="CQ70" s="24">
        <f t="shared" si="87"/>
        <v>0</v>
      </c>
      <c r="CR70" s="24">
        <f t="shared" si="87"/>
        <v>0</v>
      </c>
      <c r="CS70" s="24">
        <f t="shared" si="87"/>
        <v>0</v>
      </c>
      <c r="CT70" s="24">
        <f t="shared" si="87"/>
        <v>0</v>
      </c>
      <c r="CU70" s="24">
        <f t="shared" si="87"/>
        <v>0</v>
      </c>
      <c r="CV70" s="24">
        <f t="shared" si="88"/>
        <v>0</v>
      </c>
      <c r="CW70" s="24">
        <f t="shared" si="88"/>
        <v>0</v>
      </c>
      <c r="CX70" s="24">
        <f t="shared" si="88"/>
        <v>0</v>
      </c>
      <c r="CY70" s="24">
        <f t="shared" si="89"/>
        <v>0</v>
      </c>
      <c r="CZ70" s="24">
        <f t="shared" si="89"/>
        <v>0</v>
      </c>
      <c r="DA70" s="24">
        <f t="shared" si="89"/>
        <v>18775525</v>
      </c>
      <c r="DB70" s="24">
        <f t="shared" si="90"/>
        <v>0</v>
      </c>
      <c r="DC70" s="24">
        <f t="shared" si="90"/>
        <v>0</v>
      </c>
      <c r="DD70" s="24">
        <f t="shared" si="90"/>
        <v>0</v>
      </c>
      <c r="DE70" s="24"/>
      <c r="DF70" s="24">
        <f t="shared" si="91"/>
        <v>0</v>
      </c>
      <c r="DG70" s="54">
        <f t="shared" si="91"/>
        <v>0</v>
      </c>
      <c r="DH70" s="24">
        <f t="shared" si="91"/>
        <v>32699719</v>
      </c>
      <c r="DJ70" s="29">
        <f t="shared" si="54"/>
        <v>486018694</v>
      </c>
      <c r="DK70" s="29">
        <f t="shared" ref="DK70:DK136" si="96">+AB70+AX70</f>
        <v>486018694</v>
      </c>
      <c r="DL70" s="29">
        <f t="shared" ref="DL70:DL136" si="97">+BS70+CO70</f>
        <v>486018694</v>
      </c>
    </row>
    <row r="71" spans="1:116" ht="36" customHeight="1" x14ac:dyDescent="0.25">
      <c r="A71" s="229"/>
      <c r="B71" s="232"/>
      <c r="C71" s="20" t="s">
        <v>212</v>
      </c>
      <c r="D71" s="21" t="s">
        <v>213</v>
      </c>
      <c r="E71" s="22">
        <v>520</v>
      </c>
      <c r="F71" s="23" t="s">
        <v>91</v>
      </c>
      <c r="G71" s="24">
        <f t="shared" si="78"/>
        <v>20000000</v>
      </c>
      <c r="H71" s="33"/>
      <c r="I71" s="33"/>
      <c r="J71" s="33"/>
      <c r="K71" s="24">
        <v>20000000</v>
      </c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5">
        <f t="shared" si="93"/>
        <v>0.1</v>
      </c>
      <c r="AB71" s="24">
        <f t="shared" si="92"/>
        <v>2000000</v>
      </c>
      <c r="AC71" s="24"/>
      <c r="AD71" s="24"/>
      <c r="AE71" s="24"/>
      <c r="AF71" s="24"/>
      <c r="AG71" s="24">
        <f>+'[1]SEPTIEMBRE 2016'!$G$3405</f>
        <v>2000000</v>
      </c>
      <c r="AH71" s="24"/>
      <c r="AI71" s="24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5">
        <f t="shared" si="95"/>
        <v>0.9</v>
      </c>
      <c r="AX71" s="24">
        <f t="shared" si="79"/>
        <v>18000000</v>
      </c>
      <c r="AY71" s="24">
        <f t="shared" si="80"/>
        <v>0</v>
      </c>
      <c r="AZ71" s="24">
        <f t="shared" si="80"/>
        <v>0</v>
      </c>
      <c r="BA71" s="24">
        <f t="shared" si="80"/>
        <v>0</v>
      </c>
      <c r="BB71" s="24">
        <f t="shared" si="80"/>
        <v>18000000</v>
      </c>
      <c r="BC71" s="24">
        <f t="shared" si="80"/>
        <v>0</v>
      </c>
      <c r="BD71" s="24">
        <f t="shared" si="80"/>
        <v>0</v>
      </c>
      <c r="BE71" s="24">
        <f t="shared" si="80"/>
        <v>0</v>
      </c>
      <c r="BF71" s="24">
        <f t="shared" si="80"/>
        <v>0</v>
      </c>
      <c r="BG71" s="24">
        <f t="shared" si="80"/>
        <v>0</v>
      </c>
      <c r="BH71" s="24">
        <f t="shared" si="80"/>
        <v>0</v>
      </c>
      <c r="BI71" s="24">
        <f t="shared" si="80"/>
        <v>0</v>
      </c>
      <c r="BJ71" s="24">
        <f t="shared" si="80"/>
        <v>0</v>
      </c>
      <c r="BK71" s="24">
        <f t="shared" si="80"/>
        <v>0</v>
      </c>
      <c r="BL71" s="24">
        <f t="shared" si="80"/>
        <v>0</v>
      </c>
      <c r="BM71" s="24">
        <f t="shared" si="80"/>
        <v>0</v>
      </c>
      <c r="BN71" s="24"/>
      <c r="BO71" s="24">
        <f>X71-AT71</f>
        <v>0</v>
      </c>
      <c r="BP71" s="24">
        <f t="shared" si="82"/>
        <v>0</v>
      </c>
      <c r="BQ71" s="24">
        <f>Z71-AV71</f>
        <v>0</v>
      </c>
      <c r="BR71" s="25">
        <f t="shared" si="94"/>
        <v>0.1</v>
      </c>
      <c r="BS71" s="24">
        <f t="shared" si="84"/>
        <v>2000000</v>
      </c>
      <c r="BT71" s="24"/>
      <c r="BU71" s="24"/>
      <c r="BV71" s="24"/>
      <c r="BW71" s="24"/>
      <c r="BX71" s="24">
        <f>+'[1]SEPTIEMBRE 2016'!$H$3405</f>
        <v>2000000</v>
      </c>
      <c r="BY71" s="24"/>
      <c r="BZ71" s="24"/>
      <c r="CA71" s="24"/>
      <c r="CB71" s="24"/>
      <c r="CC71" s="24"/>
      <c r="CD71" s="24"/>
      <c r="CE71" s="24"/>
      <c r="CF71" s="24"/>
      <c r="CG71" s="24"/>
      <c r="CH71" s="24"/>
      <c r="CI71" s="24"/>
      <c r="CJ71" s="24"/>
      <c r="CK71" s="24"/>
      <c r="CL71" s="24"/>
      <c r="CM71" s="24"/>
      <c r="CN71" s="25">
        <f t="shared" si="85"/>
        <v>0.9</v>
      </c>
      <c r="CO71" s="24">
        <f t="shared" si="86"/>
        <v>18000000</v>
      </c>
      <c r="CP71" s="24">
        <f t="shared" si="87"/>
        <v>0</v>
      </c>
      <c r="CQ71" s="24">
        <f t="shared" si="87"/>
        <v>0</v>
      </c>
      <c r="CR71" s="24">
        <f t="shared" si="87"/>
        <v>0</v>
      </c>
      <c r="CS71" s="24">
        <f t="shared" si="87"/>
        <v>18000000</v>
      </c>
      <c r="CT71" s="24">
        <f t="shared" si="87"/>
        <v>0</v>
      </c>
      <c r="CU71" s="24">
        <f t="shared" si="87"/>
        <v>0</v>
      </c>
      <c r="CV71" s="24">
        <f t="shared" si="87"/>
        <v>0</v>
      </c>
      <c r="CW71" s="24">
        <f t="shared" si="87"/>
        <v>0</v>
      </c>
      <c r="CX71" s="24">
        <f t="shared" si="87"/>
        <v>0</v>
      </c>
      <c r="CY71" s="24">
        <f t="shared" si="89"/>
        <v>0</v>
      </c>
      <c r="CZ71" s="24">
        <f t="shared" si="89"/>
        <v>0</v>
      </c>
      <c r="DA71" s="24">
        <f t="shared" si="89"/>
        <v>0</v>
      </c>
      <c r="DB71" s="24">
        <f t="shared" si="89"/>
        <v>0</v>
      </c>
      <c r="DC71" s="24">
        <f t="shared" si="89"/>
        <v>0</v>
      </c>
      <c r="DD71" s="24">
        <f t="shared" si="89"/>
        <v>0</v>
      </c>
      <c r="DE71" s="24"/>
      <c r="DF71" s="24">
        <f t="shared" ref="DF71:DH72" si="98">X71-CK71</f>
        <v>0</v>
      </c>
      <c r="DG71" s="24">
        <f t="shared" si="98"/>
        <v>0</v>
      </c>
      <c r="DH71" s="24">
        <f t="shared" si="98"/>
        <v>0</v>
      </c>
      <c r="DJ71" s="29">
        <f t="shared" si="54"/>
        <v>20000000</v>
      </c>
      <c r="DK71" s="29">
        <f t="shared" si="96"/>
        <v>20000000</v>
      </c>
      <c r="DL71" s="29">
        <f t="shared" si="97"/>
        <v>20000000</v>
      </c>
    </row>
    <row r="72" spans="1:116" ht="34.5" customHeight="1" x14ac:dyDescent="0.25">
      <c r="A72" s="230"/>
      <c r="B72" s="233"/>
      <c r="C72" s="20" t="s">
        <v>214</v>
      </c>
      <c r="D72" s="21" t="s">
        <v>215</v>
      </c>
      <c r="E72" s="22">
        <v>520</v>
      </c>
      <c r="F72" s="23" t="s">
        <v>91</v>
      </c>
      <c r="G72" s="24">
        <f t="shared" si="78"/>
        <v>20000000</v>
      </c>
      <c r="H72" s="33"/>
      <c r="I72" s="33"/>
      <c r="J72" s="33"/>
      <c r="K72" s="24">
        <v>20000000</v>
      </c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5">
        <f t="shared" si="93"/>
        <v>0.93382905000000005</v>
      </c>
      <c r="AB72" s="24">
        <f t="shared" si="92"/>
        <v>18676581</v>
      </c>
      <c r="AC72" s="24"/>
      <c r="AD72" s="24"/>
      <c r="AE72" s="24"/>
      <c r="AF72" s="24"/>
      <c r="AG72" s="24">
        <f>+'[1]SEPTIEMBRE 2016'!$O$3413</f>
        <v>18676581</v>
      </c>
      <c r="AH72" s="24"/>
      <c r="AI72" s="24"/>
      <c r="AJ72" s="24"/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5">
        <f t="shared" si="95"/>
        <v>6.6170949999999951E-2</v>
      </c>
      <c r="AX72" s="24">
        <f t="shared" si="79"/>
        <v>1323419</v>
      </c>
      <c r="AY72" s="24">
        <f t="shared" si="80"/>
        <v>0</v>
      </c>
      <c r="AZ72" s="24">
        <f t="shared" si="80"/>
        <v>0</v>
      </c>
      <c r="BA72" s="24">
        <f t="shared" si="80"/>
        <v>0</v>
      </c>
      <c r="BB72" s="24">
        <f t="shared" si="80"/>
        <v>1323419</v>
      </c>
      <c r="BC72" s="24">
        <f t="shared" si="80"/>
        <v>0</v>
      </c>
      <c r="BD72" s="24">
        <f t="shared" si="80"/>
        <v>0</v>
      </c>
      <c r="BE72" s="24">
        <f t="shared" si="80"/>
        <v>0</v>
      </c>
      <c r="BF72" s="24">
        <f t="shared" si="80"/>
        <v>0</v>
      </c>
      <c r="BG72" s="24">
        <f t="shared" si="80"/>
        <v>0</v>
      </c>
      <c r="BH72" s="24">
        <f t="shared" si="80"/>
        <v>0</v>
      </c>
      <c r="BI72" s="24">
        <f t="shared" si="80"/>
        <v>0</v>
      </c>
      <c r="BJ72" s="24">
        <f t="shared" si="80"/>
        <v>0</v>
      </c>
      <c r="BK72" s="24">
        <f t="shared" si="80"/>
        <v>0</v>
      </c>
      <c r="BL72" s="24">
        <f t="shared" si="80"/>
        <v>0</v>
      </c>
      <c r="BM72" s="24">
        <f t="shared" si="80"/>
        <v>0</v>
      </c>
      <c r="BN72" s="24"/>
      <c r="BO72" s="24">
        <f>X72-AT72</f>
        <v>0</v>
      </c>
      <c r="BP72" s="24">
        <f t="shared" si="82"/>
        <v>0</v>
      </c>
      <c r="BQ72" s="24">
        <f>Z72-AV72</f>
        <v>0</v>
      </c>
      <c r="BR72" s="25">
        <f t="shared" si="94"/>
        <v>0.92382905000000004</v>
      </c>
      <c r="BS72" s="24">
        <f t="shared" si="84"/>
        <v>18476581</v>
      </c>
      <c r="BT72" s="24"/>
      <c r="BU72" s="24"/>
      <c r="BV72" s="24"/>
      <c r="BW72" s="24"/>
      <c r="BX72" s="24">
        <f>+'[1]SEPTIEMBRE 2016'!$H$3411</f>
        <v>18476581</v>
      </c>
      <c r="BY72" s="24"/>
      <c r="BZ72" s="24"/>
      <c r="CA72" s="24"/>
      <c r="CB72" s="24"/>
      <c r="CC72" s="24"/>
      <c r="CD72" s="24"/>
      <c r="CE72" s="24"/>
      <c r="CF72" s="24"/>
      <c r="CG72" s="24"/>
      <c r="CH72" s="24"/>
      <c r="CI72" s="24"/>
      <c r="CJ72" s="24"/>
      <c r="CK72" s="24"/>
      <c r="CL72" s="24"/>
      <c r="CM72" s="24"/>
      <c r="CN72" s="25">
        <f t="shared" si="85"/>
        <v>7.617094999999996E-2</v>
      </c>
      <c r="CO72" s="24">
        <f t="shared" si="86"/>
        <v>1523419</v>
      </c>
      <c r="CP72" s="24">
        <f t="shared" si="87"/>
        <v>0</v>
      </c>
      <c r="CQ72" s="24">
        <f t="shared" si="87"/>
        <v>0</v>
      </c>
      <c r="CR72" s="24">
        <f t="shared" si="87"/>
        <v>0</v>
      </c>
      <c r="CS72" s="24">
        <f t="shared" si="87"/>
        <v>1523419</v>
      </c>
      <c r="CT72" s="24">
        <f t="shared" si="87"/>
        <v>0</v>
      </c>
      <c r="CU72" s="24">
        <f t="shared" si="87"/>
        <v>0</v>
      </c>
      <c r="CV72" s="24">
        <f t="shared" si="87"/>
        <v>0</v>
      </c>
      <c r="CW72" s="24">
        <f t="shared" si="87"/>
        <v>0</v>
      </c>
      <c r="CX72" s="24">
        <f t="shared" si="87"/>
        <v>0</v>
      </c>
      <c r="CY72" s="24">
        <f t="shared" si="89"/>
        <v>0</v>
      </c>
      <c r="CZ72" s="24">
        <f t="shared" si="89"/>
        <v>0</v>
      </c>
      <c r="DA72" s="24">
        <f t="shared" si="89"/>
        <v>0</v>
      </c>
      <c r="DB72" s="24">
        <f t="shared" si="89"/>
        <v>0</v>
      </c>
      <c r="DC72" s="24">
        <f t="shared" si="89"/>
        <v>0</v>
      </c>
      <c r="DD72" s="24">
        <f t="shared" si="89"/>
        <v>0</v>
      </c>
      <c r="DE72" s="24"/>
      <c r="DF72" s="24">
        <f t="shared" si="98"/>
        <v>0</v>
      </c>
      <c r="DG72" s="24">
        <f t="shared" si="98"/>
        <v>0</v>
      </c>
      <c r="DH72" s="24">
        <f t="shared" si="98"/>
        <v>0</v>
      </c>
      <c r="DJ72" s="29">
        <f t="shared" si="54"/>
        <v>20000000</v>
      </c>
      <c r="DK72" s="29">
        <f t="shared" si="96"/>
        <v>20000000</v>
      </c>
      <c r="DL72" s="29">
        <f t="shared" si="97"/>
        <v>20000000</v>
      </c>
    </row>
    <row r="73" spans="1:116" ht="33" customHeight="1" x14ac:dyDescent="0.25">
      <c r="A73" s="228" t="s">
        <v>183</v>
      </c>
      <c r="B73" s="242" t="s">
        <v>216</v>
      </c>
      <c r="C73" s="20" t="s">
        <v>217</v>
      </c>
      <c r="D73" s="21" t="s">
        <v>218</v>
      </c>
      <c r="E73" s="22">
        <v>520</v>
      </c>
      <c r="F73" s="23" t="s">
        <v>91</v>
      </c>
      <c r="G73" s="24">
        <f t="shared" si="78"/>
        <v>10000000</v>
      </c>
      <c r="H73" s="33"/>
      <c r="I73" s="24"/>
      <c r="J73" s="24"/>
      <c r="K73" s="24">
        <f>20000000-10000000</f>
        <v>10000000</v>
      </c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5">
        <f t="shared" si="93"/>
        <v>0.98321999999999998</v>
      </c>
      <c r="AB73" s="24">
        <f t="shared" si="92"/>
        <v>9832200</v>
      </c>
      <c r="AC73" s="24"/>
      <c r="AD73" s="24"/>
      <c r="AE73" s="24"/>
      <c r="AF73" s="24"/>
      <c r="AG73" s="24">
        <f>+'[1]SEPTIEMBRE 2016'!$O$3429</f>
        <v>9832200</v>
      </c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5">
        <f t="shared" si="95"/>
        <v>1.6780000000000017E-2</v>
      </c>
      <c r="AX73" s="24">
        <f t="shared" si="79"/>
        <v>167800</v>
      </c>
      <c r="AY73" s="24">
        <f t="shared" si="80"/>
        <v>0</v>
      </c>
      <c r="AZ73" s="24">
        <f t="shared" si="80"/>
        <v>0</v>
      </c>
      <c r="BA73" s="24">
        <f t="shared" si="80"/>
        <v>0</v>
      </c>
      <c r="BB73" s="24">
        <f t="shared" ref="BB73:BM88" si="99">+K73-AG73</f>
        <v>167800</v>
      </c>
      <c r="BC73" s="24">
        <f t="shared" si="99"/>
        <v>0</v>
      </c>
      <c r="BD73" s="24">
        <f t="shared" si="99"/>
        <v>0</v>
      </c>
      <c r="BE73" s="24">
        <f t="shared" si="99"/>
        <v>0</v>
      </c>
      <c r="BF73" s="24">
        <f t="shared" si="99"/>
        <v>0</v>
      </c>
      <c r="BG73" s="24">
        <f t="shared" si="99"/>
        <v>0</v>
      </c>
      <c r="BH73" s="24">
        <f t="shared" si="99"/>
        <v>0</v>
      </c>
      <c r="BI73" s="24">
        <f t="shared" si="99"/>
        <v>0</v>
      </c>
      <c r="BJ73" s="24">
        <f t="shared" si="99"/>
        <v>0</v>
      </c>
      <c r="BK73" s="24">
        <f t="shared" si="99"/>
        <v>0</v>
      </c>
      <c r="BL73" s="24">
        <f t="shared" si="99"/>
        <v>0</v>
      </c>
      <c r="BM73" s="24">
        <f t="shared" si="99"/>
        <v>0</v>
      </c>
      <c r="BN73" s="24"/>
      <c r="BO73" s="24"/>
      <c r="BP73" s="24">
        <f t="shared" si="82"/>
        <v>0</v>
      </c>
      <c r="BQ73" s="24">
        <f t="shared" ref="BQ73:BQ92" si="100">+Z73-AV73</f>
        <v>0</v>
      </c>
      <c r="BR73" s="25">
        <f t="shared" si="94"/>
        <v>0</v>
      </c>
      <c r="BS73" s="24">
        <f t="shared" si="84"/>
        <v>0</v>
      </c>
      <c r="BT73" s="24"/>
      <c r="BU73" s="24"/>
      <c r="BV73" s="24"/>
      <c r="BW73" s="24"/>
      <c r="BX73" s="24"/>
      <c r="BY73" s="24"/>
      <c r="BZ73" s="24"/>
      <c r="CA73" s="24"/>
      <c r="CB73" s="24"/>
      <c r="CC73" s="24"/>
      <c r="CD73" s="24"/>
      <c r="CE73" s="24"/>
      <c r="CF73" s="24"/>
      <c r="CG73" s="24"/>
      <c r="CH73" s="24"/>
      <c r="CI73" s="24"/>
      <c r="CJ73" s="24"/>
      <c r="CK73" s="24"/>
      <c r="CL73" s="24"/>
      <c r="CM73" s="24"/>
      <c r="CN73" s="25">
        <f t="shared" si="85"/>
        <v>1</v>
      </c>
      <c r="CO73" s="24">
        <f t="shared" si="86"/>
        <v>10000000</v>
      </c>
      <c r="CP73" s="24">
        <f t="shared" si="87"/>
        <v>0</v>
      </c>
      <c r="CQ73" s="24">
        <f t="shared" si="87"/>
        <v>0</v>
      </c>
      <c r="CR73" s="24">
        <f t="shared" si="87"/>
        <v>0</v>
      </c>
      <c r="CS73" s="24">
        <f t="shared" si="87"/>
        <v>10000000</v>
      </c>
      <c r="CT73" s="24">
        <f t="shared" si="87"/>
        <v>0</v>
      </c>
      <c r="CU73" s="24">
        <f t="shared" si="87"/>
        <v>0</v>
      </c>
      <c r="CV73" s="24">
        <f t="shared" ref="CV73:CX75" si="101">+N73-CA73</f>
        <v>0</v>
      </c>
      <c r="CW73" s="24">
        <f t="shared" si="101"/>
        <v>0</v>
      </c>
      <c r="CX73" s="24">
        <f t="shared" si="101"/>
        <v>0</v>
      </c>
      <c r="CY73" s="24">
        <f t="shared" si="89"/>
        <v>0</v>
      </c>
      <c r="CZ73" s="24">
        <f t="shared" si="89"/>
        <v>0</v>
      </c>
      <c r="DA73" s="24">
        <f t="shared" si="89"/>
        <v>0</v>
      </c>
      <c r="DB73" s="24">
        <f t="shared" ref="DB73:DD84" si="102">+T73-CG73</f>
        <v>0</v>
      </c>
      <c r="DC73" s="24">
        <f t="shared" si="102"/>
        <v>0</v>
      </c>
      <c r="DD73" s="24">
        <f t="shared" si="102"/>
        <v>0</v>
      </c>
      <c r="DE73" s="24"/>
      <c r="DF73" s="24">
        <f t="shared" ref="DF73:DH84" si="103">+X73-CK73</f>
        <v>0</v>
      </c>
      <c r="DG73" s="54">
        <f t="shared" si="103"/>
        <v>0</v>
      </c>
      <c r="DH73" s="24">
        <f t="shared" si="103"/>
        <v>0</v>
      </c>
      <c r="DJ73" s="29">
        <f t="shared" si="54"/>
        <v>10000000</v>
      </c>
      <c r="DK73" s="29">
        <f t="shared" si="96"/>
        <v>10000000</v>
      </c>
      <c r="DL73" s="29">
        <f t="shared" si="97"/>
        <v>10000000</v>
      </c>
    </row>
    <row r="74" spans="1:116" ht="35.25" customHeight="1" x14ac:dyDescent="0.25">
      <c r="A74" s="229"/>
      <c r="B74" s="243"/>
      <c r="C74" s="20" t="s">
        <v>219</v>
      </c>
      <c r="D74" s="21" t="s">
        <v>220</v>
      </c>
      <c r="E74" s="22">
        <v>520</v>
      </c>
      <c r="F74" s="23" t="s">
        <v>91</v>
      </c>
      <c r="G74" s="24">
        <f t="shared" si="78"/>
        <v>17970750</v>
      </c>
      <c r="H74" s="33"/>
      <c r="I74" s="24"/>
      <c r="J74" s="24"/>
      <c r="K74" s="24">
        <f>20000000-2029250</f>
        <v>17970750</v>
      </c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5">
        <f t="shared" si="93"/>
        <v>1</v>
      </c>
      <c r="AB74" s="24">
        <f t="shared" si="92"/>
        <v>17970750</v>
      </c>
      <c r="AC74" s="24"/>
      <c r="AD74" s="24"/>
      <c r="AE74" s="24"/>
      <c r="AF74" s="24"/>
      <c r="AG74" s="24">
        <f>+'[4]AGOSTO 2016'!$G$2917</f>
        <v>17970750</v>
      </c>
      <c r="AH74" s="24"/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5">
        <f t="shared" si="95"/>
        <v>0</v>
      </c>
      <c r="AX74" s="24">
        <f t="shared" si="79"/>
        <v>0</v>
      </c>
      <c r="AY74" s="24">
        <f t="shared" si="80"/>
        <v>0</v>
      </c>
      <c r="AZ74" s="24">
        <f t="shared" si="80"/>
        <v>0</v>
      </c>
      <c r="BA74" s="24">
        <f t="shared" si="80"/>
        <v>0</v>
      </c>
      <c r="BB74" s="24">
        <f t="shared" si="99"/>
        <v>0</v>
      </c>
      <c r="BC74" s="24">
        <f t="shared" si="99"/>
        <v>0</v>
      </c>
      <c r="BD74" s="24">
        <f t="shared" si="99"/>
        <v>0</v>
      </c>
      <c r="BE74" s="24">
        <f t="shared" si="99"/>
        <v>0</v>
      </c>
      <c r="BF74" s="24">
        <f t="shared" si="99"/>
        <v>0</v>
      </c>
      <c r="BG74" s="24">
        <f t="shared" si="99"/>
        <v>0</v>
      </c>
      <c r="BH74" s="24">
        <f t="shared" si="99"/>
        <v>0</v>
      </c>
      <c r="BI74" s="24">
        <f t="shared" si="99"/>
        <v>0</v>
      </c>
      <c r="BJ74" s="24">
        <f t="shared" si="99"/>
        <v>0</v>
      </c>
      <c r="BK74" s="24">
        <f t="shared" si="99"/>
        <v>0</v>
      </c>
      <c r="BL74" s="24">
        <f t="shared" si="99"/>
        <v>0</v>
      </c>
      <c r="BM74" s="24">
        <f t="shared" si="99"/>
        <v>0</v>
      </c>
      <c r="BN74" s="24"/>
      <c r="BO74" s="24"/>
      <c r="BP74" s="24">
        <f t="shared" si="82"/>
        <v>0</v>
      </c>
      <c r="BQ74" s="24">
        <f t="shared" si="100"/>
        <v>0</v>
      </c>
      <c r="BR74" s="25">
        <f t="shared" si="94"/>
        <v>1</v>
      </c>
      <c r="BS74" s="24">
        <f t="shared" si="84"/>
        <v>17970750</v>
      </c>
      <c r="BT74" s="24"/>
      <c r="BU74" s="24"/>
      <c r="BV74" s="24"/>
      <c r="BW74" s="24"/>
      <c r="BX74" s="24">
        <f>+'[2]ENERO 2016'!$H$769</f>
        <v>17970750</v>
      </c>
      <c r="BY74" s="24"/>
      <c r="BZ74" s="24"/>
      <c r="CA74" s="24"/>
      <c r="CB74" s="24"/>
      <c r="CC74" s="24"/>
      <c r="CD74" s="24"/>
      <c r="CE74" s="24"/>
      <c r="CF74" s="24"/>
      <c r="CG74" s="24"/>
      <c r="CH74" s="24"/>
      <c r="CI74" s="24"/>
      <c r="CJ74" s="24"/>
      <c r="CK74" s="24"/>
      <c r="CL74" s="24"/>
      <c r="CM74" s="24"/>
      <c r="CN74" s="25">
        <f t="shared" si="85"/>
        <v>0</v>
      </c>
      <c r="CO74" s="24">
        <f t="shared" si="86"/>
        <v>0</v>
      </c>
      <c r="CP74" s="24">
        <f t="shared" si="87"/>
        <v>0</v>
      </c>
      <c r="CQ74" s="24">
        <f t="shared" si="87"/>
        <v>0</v>
      </c>
      <c r="CR74" s="24">
        <f t="shared" si="87"/>
        <v>0</v>
      </c>
      <c r="CS74" s="24">
        <f t="shared" si="87"/>
        <v>0</v>
      </c>
      <c r="CT74" s="24">
        <f t="shared" si="87"/>
        <v>0</v>
      </c>
      <c r="CU74" s="24">
        <f t="shared" si="87"/>
        <v>0</v>
      </c>
      <c r="CV74" s="24">
        <f t="shared" si="101"/>
        <v>0</v>
      </c>
      <c r="CW74" s="24">
        <f t="shared" si="101"/>
        <v>0</v>
      </c>
      <c r="CX74" s="24">
        <f t="shared" si="101"/>
        <v>0</v>
      </c>
      <c r="CY74" s="24">
        <f t="shared" si="89"/>
        <v>0</v>
      </c>
      <c r="CZ74" s="24">
        <f t="shared" si="89"/>
        <v>0</v>
      </c>
      <c r="DA74" s="24">
        <f t="shared" si="89"/>
        <v>0</v>
      </c>
      <c r="DB74" s="24">
        <f t="shared" si="102"/>
        <v>0</v>
      </c>
      <c r="DC74" s="24">
        <f t="shared" si="102"/>
        <v>0</v>
      </c>
      <c r="DD74" s="24">
        <f t="shared" si="102"/>
        <v>0</v>
      </c>
      <c r="DE74" s="24"/>
      <c r="DF74" s="24">
        <f t="shared" si="103"/>
        <v>0</v>
      </c>
      <c r="DG74" s="54">
        <f t="shared" si="103"/>
        <v>0</v>
      </c>
      <c r="DH74" s="24">
        <f t="shared" si="103"/>
        <v>0</v>
      </c>
      <c r="DJ74" s="29">
        <f t="shared" si="54"/>
        <v>17970750</v>
      </c>
      <c r="DK74" s="29">
        <f t="shared" si="96"/>
        <v>17970750</v>
      </c>
      <c r="DL74" s="29">
        <f t="shared" si="97"/>
        <v>17970750</v>
      </c>
    </row>
    <row r="75" spans="1:116" ht="33.75" customHeight="1" x14ac:dyDescent="0.25">
      <c r="A75" s="229"/>
      <c r="B75" s="243"/>
      <c r="C75" s="20" t="s">
        <v>221</v>
      </c>
      <c r="D75" s="21" t="s">
        <v>222</v>
      </c>
      <c r="E75" s="22">
        <v>520</v>
      </c>
      <c r="F75" s="23" t="s">
        <v>76</v>
      </c>
      <c r="G75" s="24">
        <f t="shared" si="78"/>
        <v>1000000</v>
      </c>
      <c r="H75" s="33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>
        <f>3000000-2000000</f>
        <v>1000000</v>
      </c>
      <c r="AA75" s="25">
        <f t="shared" si="93"/>
        <v>1</v>
      </c>
      <c r="AB75" s="24">
        <f t="shared" si="92"/>
        <v>1000000</v>
      </c>
      <c r="AC75" s="24"/>
      <c r="AD75" s="24"/>
      <c r="AE75" s="24"/>
      <c r="AF75" s="24"/>
      <c r="AG75" s="24"/>
      <c r="AH75" s="24"/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>
        <f>+'[8]ABRIL 2016'!$G$1547</f>
        <v>1000000</v>
      </c>
      <c r="AW75" s="25">
        <f t="shared" si="95"/>
        <v>0</v>
      </c>
      <c r="AX75" s="24">
        <f t="shared" si="79"/>
        <v>0</v>
      </c>
      <c r="AY75" s="24">
        <f t="shared" si="80"/>
        <v>0</v>
      </c>
      <c r="AZ75" s="24">
        <f t="shared" si="80"/>
        <v>0</v>
      </c>
      <c r="BA75" s="24">
        <f t="shared" si="80"/>
        <v>0</v>
      </c>
      <c r="BB75" s="24">
        <f t="shared" si="99"/>
        <v>0</v>
      </c>
      <c r="BC75" s="24">
        <f t="shared" si="99"/>
        <v>0</v>
      </c>
      <c r="BD75" s="24">
        <f t="shared" si="99"/>
        <v>0</v>
      </c>
      <c r="BE75" s="24">
        <f t="shared" si="99"/>
        <v>0</v>
      </c>
      <c r="BF75" s="24">
        <f t="shared" si="99"/>
        <v>0</v>
      </c>
      <c r="BG75" s="24">
        <f t="shared" si="99"/>
        <v>0</v>
      </c>
      <c r="BH75" s="24">
        <f t="shared" si="99"/>
        <v>0</v>
      </c>
      <c r="BI75" s="24">
        <f t="shared" si="99"/>
        <v>0</v>
      </c>
      <c r="BJ75" s="24">
        <f t="shared" si="99"/>
        <v>0</v>
      </c>
      <c r="BK75" s="24">
        <f t="shared" si="99"/>
        <v>0</v>
      </c>
      <c r="BL75" s="24">
        <f t="shared" si="99"/>
        <v>0</v>
      </c>
      <c r="BM75" s="24">
        <f t="shared" si="99"/>
        <v>0</v>
      </c>
      <c r="BN75" s="24"/>
      <c r="BO75" s="24"/>
      <c r="BP75" s="24">
        <f t="shared" si="82"/>
        <v>0</v>
      </c>
      <c r="BQ75" s="24">
        <f t="shared" si="100"/>
        <v>0</v>
      </c>
      <c r="BR75" s="25">
        <f t="shared" si="94"/>
        <v>1</v>
      </c>
      <c r="BS75" s="24">
        <f t="shared" si="84"/>
        <v>1000000</v>
      </c>
      <c r="BT75" s="24"/>
      <c r="BU75" s="24"/>
      <c r="BV75" s="24"/>
      <c r="BW75" s="24"/>
      <c r="BX75" s="24"/>
      <c r="BY75" s="24"/>
      <c r="BZ75" s="24"/>
      <c r="CA75" s="24"/>
      <c r="CB75" s="24"/>
      <c r="CC75" s="24"/>
      <c r="CD75" s="24"/>
      <c r="CE75" s="24"/>
      <c r="CF75" s="24"/>
      <c r="CG75" s="24"/>
      <c r="CH75" s="24"/>
      <c r="CI75" s="24"/>
      <c r="CJ75" s="24"/>
      <c r="CK75" s="24"/>
      <c r="CL75" s="24"/>
      <c r="CM75" s="24">
        <f>+'[8]ABRIL 2016'!$H$1547</f>
        <v>1000000</v>
      </c>
      <c r="CN75" s="25">
        <f t="shared" si="85"/>
        <v>0</v>
      </c>
      <c r="CO75" s="24">
        <f t="shared" si="86"/>
        <v>0</v>
      </c>
      <c r="CP75" s="24">
        <f t="shared" si="87"/>
        <v>0</v>
      </c>
      <c r="CQ75" s="24">
        <f t="shared" si="87"/>
        <v>0</v>
      </c>
      <c r="CR75" s="24">
        <f t="shared" si="87"/>
        <v>0</v>
      </c>
      <c r="CS75" s="24">
        <f t="shared" si="87"/>
        <v>0</v>
      </c>
      <c r="CT75" s="24">
        <f t="shared" si="87"/>
        <v>0</v>
      </c>
      <c r="CU75" s="24">
        <f t="shared" si="87"/>
        <v>0</v>
      </c>
      <c r="CV75" s="24">
        <f t="shared" si="101"/>
        <v>0</v>
      </c>
      <c r="CW75" s="24">
        <f t="shared" si="101"/>
        <v>0</v>
      </c>
      <c r="CX75" s="24">
        <f t="shared" si="101"/>
        <v>0</v>
      </c>
      <c r="CY75" s="24">
        <f t="shared" si="89"/>
        <v>0</v>
      </c>
      <c r="CZ75" s="24">
        <f t="shared" si="89"/>
        <v>0</v>
      </c>
      <c r="DA75" s="24">
        <f t="shared" si="89"/>
        <v>0</v>
      </c>
      <c r="DB75" s="24">
        <f t="shared" si="102"/>
        <v>0</v>
      </c>
      <c r="DC75" s="24">
        <f t="shared" si="102"/>
        <v>0</v>
      </c>
      <c r="DD75" s="24">
        <f t="shared" si="102"/>
        <v>0</v>
      </c>
      <c r="DE75" s="24"/>
      <c r="DF75" s="24">
        <f t="shared" si="103"/>
        <v>0</v>
      </c>
      <c r="DG75" s="54">
        <f t="shared" si="103"/>
        <v>0</v>
      </c>
      <c r="DH75" s="24">
        <f t="shared" si="103"/>
        <v>0</v>
      </c>
      <c r="DJ75" s="29">
        <f t="shared" si="54"/>
        <v>1000000</v>
      </c>
      <c r="DK75" s="29">
        <f t="shared" si="96"/>
        <v>1000000</v>
      </c>
      <c r="DL75" s="29">
        <f t="shared" si="97"/>
        <v>1000000</v>
      </c>
    </row>
    <row r="76" spans="1:116" ht="33" customHeight="1" x14ac:dyDescent="0.25">
      <c r="A76" s="229"/>
      <c r="B76" s="243"/>
      <c r="C76" s="20" t="s">
        <v>223</v>
      </c>
      <c r="D76" s="21" t="s">
        <v>224</v>
      </c>
      <c r="E76" s="22">
        <v>520</v>
      </c>
      <c r="F76" s="23" t="s">
        <v>91</v>
      </c>
      <c r="G76" s="24">
        <f t="shared" si="78"/>
        <v>0</v>
      </c>
      <c r="H76" s="33"/>
      <c r="I76" s="24"/>
      <c r="J76" s="24"/>
      <c r="K76" s="24">
        <f>5000000-5000000</f>
        <v>0</v>
      </c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5" t="e">
        <f t="shared" si="93"/>
        <v>#DIV/0!</v>
      </c>
      <c r="AB76" s="24">
        <f t="shared" si="92"/>
        <v>0</v>
      </c>
      <c r="AC76" s="24"/>
      <c r="AD76" s="24"/>
      <c r="AE76" s="24"/>
      <c r="AF76" s="24"/>
      <c r="AG76" s="24"/>
      <c r="AH76" s="24"/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5" t="e">
        <f t="shared" si="95"/>
        <v>#DIV/0!</v>
      </c>
      <c r="AX76" s="24">
        <f t="shared" si="79"/>
        <v>0</v>
      </c>
      <c r="AY76" s="24">
        <f t="shared" si="80"/>
        <v>0</v>
      </c>
      <c r="AZ76" s="24">
        <f t="shared" si="80"/>
        <v>0</v>
      </c>
      <c r="BA76" s="24">
        <f t="shared" si="80"/>
        <v>0</v>
      </c>
      <c r="BB76" s="24">
        <f t="shared" si="99"/>
        <v>0</v>
      </c>
      <c r="BC76" s="24"/>
      <c r="BD76" s="24"/>
      <c r="BE76" s="24"/>
      <c r="BF76" s="24"/>
      <c r="BG76" s="24"/>
      <c r="BH76" s="24">
        <f t="shared" si="99"/>
        <v>0</v>
      </c>
      <c r="BI76" s="24">
        <f t="shared" si="99"/>
        <v>0</v>
      </c>
      <c r="BJ76" s="24">
        <f t="shared" si="99"/>
        <v>0</v>
      </c>
      <c r="BK76" s="24"/>
      <c r="BL76" s="24">
        <f t="shared" si="99"/>
        <v>0</v>
      </c>
      <c r="BM76" s="24">
        <f t="shared" si="99"/>
        <v>0</v>
      </c>
      <c r="BN76" s="24"/>
      <c r="BO76" s="24"/>
      <c r="BP76" s="24">
        <f t="shared" si="82"/>
        <v>0</v>
      </c>
      <c r="BQ76" s="24">
        <f t="shared" si="100"/>
        <v>0</v>
      </c>
      <c r="BR76" s="25" t="e">
        <f t="shared" si="94"/>
        <v>#DIV/0!</v>
      </c>
      <c r="BS76" s="24">
        <f t="shared" si="84"/>
        <v>0</v>
      </c>
      <c r="BT76" s="24"/>
      <c r="BU76" s="24"/>
      <c r="BV76" s="24"/>
      <c r="BW76" s="24"/>
      <c r="BX76" s="24"/>
      <c r="BY76" s="24"/>
      <c r="BZ76" s="24"/>
      <c r="CA76" s="24"/>
      <c r="CB76" s="24"/>
      <c r="CC76" s="24"/>
      <c r="CD76" s="24"/>
      <c r="CE76" s="24"/>
      <c r="CF76" s="24"/>
      <c r="CG76" s="24"/>
      <c r="CH76" s="24"/>
      <c r="CI76" s="24"/>
      <c r="CJ76" s="24"/>
      <c r="CK76" s="24"/>
      <c r="CL76" s="24"/>
      <c r="CM76" s="24"/>
      <c r="CN76" s="25" t="e">
        <f t="shared" si="85"/>
        <v>#DIV/0!</v>
      </c>
      <c r="CO76" s="24">
        <f t="shared" si="86"/>
        <v>0</v>
      </c>
      <c r="CP76" s="24">
        <f t="shared" si="87"/>
        <v>0</v>
      </c>
      <c r="CQ76" s="24">
        <f t="shared" si="87"/>
        <v>0</v>
      </c>
      <c r="CR76" s="24">
        <f t="shared" si="87"/>
        <v>0</v>
      </c>
      <c r="CS76" s="24">
        <f t="shared" si="87"/>
        <v>0</v>
      </c>
      <c r="CT76" s="24"/>
      <c r="CU76" s="24"/>
      <c r="CV76" s="24"/>
      <c r="CW76" s="24"/>
      <c r="CX76" s="24"/>
      <c r="CY76" s="24">
        <f t="shared" si="89"/>
        <v>0</v>
      </c>
      <c r="CZ76" s="24">
        <f t="shared" si="89"/>
        <v>0</v>
      </c>
      <c r="DA76" s="24">
        <f t="shared" si="89"/>
        <v>0</v>
      </c>
      <c r="DB76" s="24">
        <f t="shared" si="102"/>
        <v>0</v>
      </c>
      <c r="DC76" s="24">
        <f t="shared" si="102"/>
        <v>0</v>
      </c>
      <c r="DD76" s="24">
        <f t="shared" si="102"/>
        <v>0</v>
      </c>
      <c r="DE76" s="24"/>
      <c r="DF76" s="24"/>
      <c r="DG76" s="54"/>
      <c r="DH76" s="24">
        <f t="shared" si="103"/>
        <v>0</v>
      </c>
      <c r="DJ76" s="29">
        <f t="shared" si="54"/>
        <v>0</v>
      </c>
      <c r="DK76" s="29">
        <f t="shared" si="96"/>
        <v>0</v>
      </c>
      <c r="DL76" s="29">
        <f t="shared" si="97"/>
        <v>0</v>
      </c>
    </row>
    <row r="77" spans="1:116" ht="22.5" customHeight="1" x14ac:dyDescent="0.25">
      <c r="A77" s="229"/>
      <c r="B77" s="243"/>
      <c r="C77" s="20" t="s">
        <v>225</v>
      </c>
      <c r="D77" s="21" t="s">
        <v>226</v>
      </c>
      <c r="E77" s="22">
        <v>520</v>
      </c>
      <c r="F77" s="23" t="s">
        <v>91</v>
      </c>
      <c r="G77" s="24">
        <f t="shared" si="78"/>
        <v>0</v>
      </c>
      <c r="H77" s="33"/>
      <c r="I77" s="24"/>
      <c r="J77" s="24"/>
      <c r="K77" s="24">
        <f>5000000-5000000</f>
        <v>0</v>
      </c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5" t="e">
        <f t="shared" si="93"/>
        <v>#DIV/0!</v>
      </c>
      <c r="AB77" s="24">
        <f t="shared" si="92"/>
        <v>0</v>
      </c>
      <c r="AC77" s="24"/>
      <c r="AD77" s="24"/>
      <c r="AE77" s="24"/>
      <c r="AF77" s="24"/>
      <c r="AG77" s="24"/>
      <c r="AH77" s="24"/>
      <c r="AI77" s="24"/>
      <c r="AJ77" s="24"/>
      <c r="AK77" s="24"/>
      <c r="AL77" s="24"/>
      <c r="AM77" s="24"/>
      <c r="AN77" s="24"/>
      <c r="AO77" s="24"/>
      <c r="AP77" s="24"/>
      <c r="AQ77" s="24"/>
      <c r="AR77" s="24"/>
      <c r="AS77" s="24"/>
      <c r="AT77" s="24"/>
      <c r="AU77" s="24"/>
      <c r="AV77" s="24"/>
      <c r="AW77" s="25" t="e">
        <f t="shared" si="95"/>
        <v>#DIV/0!</v>
      </c>
      <c r="AX77" s="24">
        <f t="shared" si="79"/>
        <v>0</v>
      </c>
      <c r="AY77" s="24">
        <f t="shared" si="80"/>
        <v>0</v>
      </c>
      <c r="AZ77" s="24">
        <f t="shared" si="80"/>
        <v>0</v>
      </c>
      <c r="BA77" s="24">
        <f t="shared" si="80"/>
        <v>0</v>
      </c>
      <c r="BB77" s="24">
        <f t="shared" si="99"/>
        <v>0</v>
      </c>
      <c r="BC77" s="24"/>
      <c r="BD77" s="24"/>
      <c r="BE77" s="24"/>
      <c r="BF77" s="24"/>
      <c r="BG77" s="24"/>
      <c r="BH77" s="24">
        <f t="shared" si="99"/>
        <v>0</v>
      </c>
      <c r="BI77" s="24">
        <f t="shared" si="99"/>
        <v>0</v>
      </c>
      <c r="BJ77" s="24">
        <f t="shared" si="99"/>
        <v>0</v>
      </c>
      <c r="BK77" s="24"/>
      <c r="BL77" s="24">
        <f t="shared" si="99"/>
        <v>0</v>
      </c>
      <c r="BM77" s="24">
        <f t="shared" si="99"/>
        <v>0</v>
      </c>
      <c r="BN77" s="24"/>
      <c r="BO77" s="24"/>
      <c r="BP77" s="24">
        <f t="shared" si="82"/>
        <v>0</v>
      </c>
      <c r="BQ77" s="24">
        <f t="shared" si="100"/>
        <v>0</v>
      </c>
      <c r="BR77" s="25" t="e">
        <f t="shared" si="94"/>
        <v>#DIV/0!</v>
      </c>
      <c r="BS77" s="24">
        <f t="shared" si="84"/>
        <v>0</v>
      </c>
      <c r="BT77" s="24"/>
      <c r="BU77" s="24"/>
      <c r="BV77" s="24"/>
      <c r="BW77" s="24"/>
      <c r="BX77" s="24"/>
      <c r="BY77" s="24"/>
      <c r="BZ77" s="24"/>
      <c r="CA77" s="24"/>
      <c r="CB77" s="24"/>
      <c r="CC77" s="24"/>
      <c r="CD77" s="24"/>
      <c r="CE77" s="24"/>
      <c r="CF77" s="24"/>
      <c r="CG77" s="24"/>
      <c r="CH77" s="24"/>
      <c r="CI77" s="24"/>
      <c r="CJ77" s="24"/>
      <c r="CK77" s="24"/>
      <c r="CL77" s="24"/>
      <c r="CM77" s="24"/>
      <c r="CN77" s="25" t="e">
        <f t="shared" si="85"/>
        <v>#DIV/0!</v>
      </c>
      <c r="CO77" s="24">
        <f t="shared" si="86"/>
        <v>0</v>
      </c>
      <c r="CP77" s="24">
        <f t="shared" ref="CP77:CU92" si="104">H77-BU77</f>
        <v>0</v>
      </c>
      <c r="CQ77" s="24">
        <f t="shared" si="104"/>
        <v>0</v>
      </c>
      <c r="CR77" s="24">
        <f t="shared" si="104"/>
        <v>0</v>
      </c>
      <c r="CS77" s="24">
        <f t="shared" si="104"/>
        <v>0</v>
      </c>
      <c r="CT77" s="24"/>
      <c r="CU77" s="24"/>
      <c r="CV77" s="24"/>
      <c r="CW77" s="24"/>
      <c r="CX77" s="24"/>
      <c r="CY77" s="24">
        <f t="shared" si="89"/>
        <v>0</v>
      </c>
      <c r="CZ77" s="24">
        <f t="shared" si="89"/>
        <v>0</v>
      </c>
      <c r="DA77" s="24">
        <f t="shared" si="89"/>
        <v>0</v>
      </c>
      <c r="DB77" s="24">
        <f t="shared" si="102"/>
        <v>0</v>
      </c>
      <c r="DC77" s="24">
        <f t="shared" si="102"/>
        <v>0</v>
      </c>
      <c r="DD77" s="24">
        <f t="shared" si="102"/>
        <v>0</v>
      </c>
      <c r="DE77" s="24"/>
      <c r="DF77" s="24"/>
      <c r="DG77" s="54"/>
      <c r="DH77" s="24">
        <f t="shared" si="103"/>
        <v>0</v>
      </c>
      <c r="DJ77" s="29">
        <f t="shared" si="54"/>
        <v>0</v>
      </c>
      <c r="DK77" s="29">
        <f t="shared" si="96"/>
        <v>0</v>
      </c>
      <c r="DL77" s="29">
        <f t="shared" si="97"/>
        <v>0</v>
      </c>
    </row>
    <row r="78" spans="1:116" ht="21" customHeight="1" x14ac:dyDescent="0.25">
      <c r="A78" s="229"/>
      <c r="B78" s="243"/>
      <c r="C78" s="20" t="s">
        <v>227</v>
      </c>
      <c r="D78" s="21" t="s">
        <v>228</v>
      </c>
      <c r="E78" s="22">
        <v>520</v>
      </c>
      <c r="F78" s="23" t="s">
        <v>91</v>
      </c>
      <c r="G78" s="24">
        <f t="shared" si="78"/>
        <v>27029250</v>
      </c>
      <c r="H78" s="33"/>
      <c r="I78" s="24"/>
      <c r="J78" s="24"/>
      <c r="K78" s="24">
        <f>5000000+10000000+12029250</f>
        <v>27029250</v>
      </c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5">
        <f t="shared" si="93"/>
        <v>0.99725575071450379</v>
      </c>
      <c r="AB78" s="24">
        <f t="shared" si="92"/>
        <v>26955075</v>
      </c>
      <c r="AC78" s="24"/>
      <c r="AD78" s="24"/>
      <c r="AE78" s="24"/>
      <c r="AF78" s="24"/>
      <c r="AG78" s="24">
        <f>+'[1]SEPTIEMBRE 2016'!$O$3457</f>
        <v>26955075</v>
      </c>
      <c r="AH78" s="24"/>
      <c r="AI78" s="24"/>
      <c r="AJ78" s="24"/>
      <c r="AK78" s="24"/>
      <c r="AL78" s="24"/>
      <c r="AM78" s="24"/>
      <c r="AN78" s="24"/>
      <c r="AO78" s="24"/>
      <c r="AP78" s="24"/>
      <c r="AQ78" s="24"/>
      <c r="AR78" s="24"/>
      <c r="AS78" s="24"/>
      <c r="AT78" s="24"/>
      <c r="AU78" s="24"/>
      <c r="AV78" s="24"/>
      <c r="AW78" s="25">
        <f t="shared" si="95"/>
        <v>2.7442492854962142E-3</v>
      </c>
      <c r="AX78" s="24">
        <f t="shared" si="79"/>
        <v>74175</v>
      </c>
      <c r="AY78" s="24">
        <f t="shared" si="80"/>
        <v>0</v>
      </c>
      <c r="AZ78" s="24">
        <f t="shared" si="80"/>
        <v>0</v>
      </c>
      <c r="BA78" s="24">
        <f t="shared" si="80"/>
        <v>0</v>
      </c>
      <c r="BB78" s="24">
        <f t="shared" si="99"/>
        <v>74175</v>
      </c>
      <c r="BC78" s="24"/>
      <c r="BD78" s="24"/>
      <c r="BE78" s="24"/>
      <c r="BF78" s="24"/>
      <c r="BG78" s="24"/>
      <c r="BH78" s="24">
        <f t="shared" si="99"/>
        <v>0</v>
      </c>
      <c r="BI78" s="24">
        <f t="shared" si="99"/>
        <v>0</v>
      </c>
      <c r="BJ78" s="24">
        <f t="shared" si="99"/>
        <v>0</v>
      </c>
      <c r="BK78" s="24">
        <f t="shared" si="99"/>
        <v>0</v>
      </c>
      <c r="BL78" s="24">
        <f t="shared" si="99"/>
        <v>0</v>
      </c>
      <c r="BM78" s="24">
        <f t="shared" si="99"/>
        <v>0</v>
      </c>
      <c r="BN78" s="24"/>
      <c r="BO78" s="24"/>
      <c r="BP78" s="24">
        <f t="shared" si="82"/>
        <v>0</v>
      </c>
      <c r="BQ78" s="24">
        <f t="shared" si="100"/>
        <v>0</v>
      </c>
      <c r="BR78" s="25">
        <f t="shared" si="94"/>
        <v>0.99725575071450379</v>
      </c>
      <c r="BS78" s="24">
        <f t="shared" si="84"/>
        <v>26955075</v>
      </c>
      <c r="BT78" s="24"/>
      <c r="BU78" s="24"/>
      <c r="BV78" s="24"/>
      <c r="BW78" s="24"/>
      <c r="BX78" s="24">
        <f>+'[1]SEPTIEMBRE 2016'!$H$3455</f>
        <v>26955075</v>
      </c>
      <c r="BY78" s="24"/>
      <c r="BZ78" s="24"/>
      <c r="CA78" s="24"/>
      <c r="CB78" s="24"/>
      <c r="CC78" s="24"/>
      <c r="CD78" s="24"/>
      <c r="CE78" s="24"/>
      <c r="CF78" s="24"/>
      <c r="CG78" s="24"/>
      <c r="CH78" s="24"/>
      <c r="CI78" s="24"/>
      <c r="CJ78" s="24"/>
      <c r="CK78" s="24"/>
      <c r="CL78" s="24"/>
      <c r="CM78" s="24"/>
      <c r="CN78" s="25">
        <f t="shared" si="85"/>
        <v>2.7442492854962142E-3</v>
      </c>
      <c r="CO78" s="24">
        <f t="shared" si="86"/>
        <v>74175</v>
      </c>
      <c r="CP78" s="24">
        <f t="shared" si="104"/>
        <v>0</v>
      </c>
      <c r="CQ78" s="24">
        <f t="shared" si="104"/>
        <v>0</v>
      </c>
      <c r="CR78" s="24">
        <f t="shared" si="104"/>
        <v>0</v>
      </c>
      <c r="CS78" s="24">
        <f t="shared" si="104"/>
        <v>74175</v>
      </c>
      <c r="CT78" s="24"/>
      <c r="CU78" s="24"/>
      <c r="CV78" s="24"/>
      <c r="CW78" s="24"/>
      <c r="CX78" s="24"/>
      <c r="CY78" s="24">
        <f t="shared" si="89"/>
        <v>0</v>
      </c>
      <c r="CZ78" s="24">
        <f t="shared" si="89"/>
        <v>0</v>
      </c>
      <c r="DA78" s="24">
        <f t="shared" si="89"/>
        <v>0</v>
      </c>
      <c r="DB78" s="24">
        <f t="shared" si="102"/>
        <v>0</v>
      </c>
      <c r="DC78" s="24">
        <f t="shared" si="102"/>
        <v>0</v>
      </c>
      <c r="DD78" s="24">
        <f t="shared" si="102"/>
        <v>0</v>
      </c>
      <c r="DE78" s="24"/>
      <c r="DF78" s="24"/>
      <c r="DG78" s="54"/>
      <c r="DH78" s="24">
        <f t="shared" si="103"/>
        <v>0</v>
      </c>
      <c r="DJ78" s="29">
        <f t="shared" si="54"/>
        <v>27029250</v>
      </c>
      <c r="DK78" s="29">
        <f t="shared" si="96"/>
        <v>27029250</v>
      </c>
      <c r="DL78" s="29">
        <f t="shared" si="97"/>
        <v>27029250</v>
      </c>
    </row>
    <row r="79" spans="1:116" ht="21.75" customHeight="1" x14ac:dyDescent="0.25">
      <c r="A79" s="229"/>
      <c r="B79" s="244"/>
      <c r="C79" s="20" t="s">
        <v>229</v>
      </c>
      <c r="D79" s="21" t="s">
        <v>230</v>
      </c>
      <c r="E79" s="22">
        <v>520</v>
      </c>
      <c r="F79" s="23" t="s">
        <v>91</v>
      </c>
      <c r="G79" s="24">
        <f t="shared" si="78"/>
        <v>5000000</v>
      </c>
      <c r="H79" s="33"/>
      <c r="I79" s="24"/>
      <c r="J79" s="24"/>
      <c r="K79" s="24">
        <v>5000000</v>
      </c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5">
        <f t="shared" si="93"/>
        <v>0.74168699999999999</v>
      </c>
      <c r="AB79" s="24">
        <f t="shared" si="92"/>
        <v>3708435</v>
      </c>
      <c r="AC79" s="24"/>
      <c r="AD79" s="24"/>
      <c r="AE79" s="24"/>
      <c r="AF79" s="24"/>
      <c r="AG79" s="24">
        <f>+'[4]AGOSTO 2016'!$O$2947</f>
        <v>3708435</v>
      </c>
      <c r="AH79" s="24"/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  <c r="AU79" s="24"/>
      <c r="AV79" s="24"/>
      <c r="AW79" s="25">
        <f t="shared" si="95"/>
        <v>0.25831300000000001</v>
      </c>
      <c r="AX79" s="24">
        <f t="shared" si="79"/>
        <v>1291565</v>
      </c>
      <c r="AY79" s="24">
        <f t="shared" si="80"/>
        <v>0</v>
      </c>
      <c r="AZ79" s="24">
        <f t="shared" si="80"/>
        <v>0</v>
      </c>
      <c r="BA79" s="24">
        <f t="shared" si="80"/>
        <v>0</v>
      </c>
      <c r="BB79" s="24">
        <f t="shared" si="99"/>
        <v>1291565</v>
      </c>
      <c r="BC79" s="24"/>
      <c r="BD79" s="24"/>
      <c r="BE79" s="24"/>
      <c r="BF79" s="24"/>
      <c r="BG79" s="24"/>
      <c r="BH79" s="24">
        <f t="shared" si="99"/>
        <v>0</v>
      </c>
      <c r="BI79" s="24">
        <f t="shared" si="99"/>
        <v>0</v>
      </c>
      <c r="BJ79" s="24">
        <f t="shared" si="99"/>
        <v>0</v>
      </c>
      <c r="BK79" s="24">
        <f t="shared" si="99"/>
        <v>0</v>
      </c>
      <c r="BL79" s="24">
        <f t="shared" si="99"/>
        <v>0</v>
      </c>
      <c r="BM79" s="24">
        <f t="shared" si="99"/>
        <v>0</v>
      </c>
      <c r="BN79" s="24"/>
      <c r="BO79" s="24"/>
      <c r="BP79" s="24">
        <f t="shared" si="82"/>
        <v>0</v>
      </c>
      <c r="BQ79" s="24">
        <f t="shared" si="100"/>
        <v>0</v>
      </c>
      <c r="BR79" s="25">
        <f t="shared" si="94"/>
        <v>0.74168699999999999</v>
      </c>
      <c r="BS79" s="24">
        <f t="shared" si="84"/>
        <v>3708435</v>
      </c>
      <c r="BT79" s="24"/>
      <c r="BU79" s="24"/>
      <c r="BV79" s="24"/>
      <c r="BW79" s="24"/>
      <c r="BX79" s="24">
        <f>+'[4]AGOSTO 2016'!$H$2945</f>
        <v>3708435</v>
      </c>
      <c r="BY79" s="24"/>
      <c r="BZ79" s="24"/>
      <c r="CA79" s="24"/>
      <c r="CB79" s="24"/>
      <c r="CC79" s="24"/>
      <c r="CD79" s="24"/>
      <c r="CE79" s="24"/>
      <c r="CF79" s="24"/>
      <c r="CG79" s="24"/>
      <c r="CH79" s="24"/>
      <c r="CI79" s="24"/>
      <c r="CJ79" s="24"/>
      <c r="CK79" s="24"/>
      <c r="CL79" s="24"/>
      <c r="CM79" s="24"/>
      <c r="CN79" s="25">
        <f t="shared" si="85"/>
        <v>0.25831300000000001</v>
      </c>
      <c r="CO79" s="24">
        <f t="shared" si="86"/>
        <v>1291565</v>
      </c>
      <c r="CP79" s="24">
        <f t="shared" si="104"/>
        <v>0</v>
      </c>
      <c r="CQ79" s="24">
        <f t="shared" si="104"/>
        <v>0</v>
      </c>
      <c r="CR79" s="24">
        <f t="shared" si="104"/>
        <v>0</v>
      </c>
      <c r="CS79" s="24">
        <f t="shared" si="104"/>
        <v>1291565</v>
      </c>
      <c r="CT79" s="24"/>
      <c r="CU79" s="24"/>
      <c r="CV79" s="24"/>
      <c r="CW79" s="24"/>
      <c r="CX79" s="24"/>
      <c r="CY79" s="24">
        <f t="shared" si="89"/>
        <v>0</v>
      </c>
      <c r="CZ79" s="24">
        <f t="shared" si="89"/>
        <v>0</v>
      </c>
      <c r="DA79" s="24">
        <f t="shared" si="89"/>
        <v>0</v>
      </c>
      <c r="DB79" s="24">
        <f t="shared" si="102"/>
        <v>0</v>
      </c>
      <c r="DC79" s="24">
        <f t="shared" si="102"/>
        <v>0</v>
      </c>
      <c r="DD79" s="24">
        <f t="shared" si="102"/>
        <v>0</v>
      </c>
      <c r="DE79" s="24"/>
      <c r="DF79" s="24"/>
      <c r="DG79" s="54"/>
      <c r="DH79" s="24">
        <f t="shared" si="103"/>
        <v>0</v>
      </c>
      <c r="DJ79" s="29">
        <f t="shared" si="54"/>
        <v>5000000</v>
      </c>
      <c r="DK79" s="29">
        <f t="shared" si="96"/>
        <v>5000000</v>
      </c>
      <c r="DL79" s="29">
        <f t="shared" si="97"/>
        <v>5000000</v>
      </c>
    </row>
    <row r="80" spans="1:116" ht="34.5" customHeight="1" x14ac:dyDescent="0.25">
      <c r="A80" s="229"/>
      <c r="B80" s="231" t="s">
        <v>231</v>
      </c>
      <c r="C80" s="20" t="s">
        <v>232</v>
      </c>
      <c r="D80" s="21" t="s">
        <v>233</v>
      </c>
      <c r="E80" s="22">
        <v>520</v>
      </c>
      <c r="F80" s="23" t="s">
        <v>91</v>
      </c>
      <c r="G80" s="24">
        <f t="shared" si="78"/>
        <v>10000000</v>
      </c>
      <c r="H80" s="33"/>
      <c r="I80" s="24"/>
      <c r="J80" s="24"/>
      <c r="K80" s="24">
        <v>10000000</v>
      </c>
      <c r="L80" s="24"/>
      <c r="M80" s="24"/>
      <c r="N80" s="24"/>
      <c r="O80" s="24"/>
      <c r="P80" s="24"/>
      <c r="Q80" s="24"/>
      <c r="R80" s="24"/>
      <c r="S80" s="45"/>
      <c r="T80" s="24"/>
      <c r="U80" s="24"/>
      <c r="V80" s="24"/>
      <c r="W80" s="24"/>
      <c r="X80" s="24"/>
      <c r="Y80" s="24"/>
      <c r="Z80" s="24"/>
      <c r="AA80" s="25">
        <f t="shared" si="93"/>
        <v>1</v>
      </c>
      <c r="AB80" s="24">
        <f t="shared" si="92"/>
        <v>10000000</v>
      </c>
      <c r="AC80" s="24"/>
      <c r="AD80" s="24"/>
      <c r="AE80" s="24"/>
      <c r="AF80" s="24"/>
      <c r="AG80" s="24">
        <f>+'[5]JULIO 2016'!$O$2299</f>
        <v>10000000</v>
      </c>
      <c r="AH80" s="24"/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  <c r="AW80" s="25">
        <f t="shared" si="95"/>
        <v>0</v>
      </c>
      <c r="AX80" s="24">
        <f t="shared" si="79"/>
        <v>0</v>
      </c>
      <c r="AY80" s="24">
        <f t="shared" si="80"/>
        <v>0</v>
      </c>
      <c r="AZ80" s="24">
        <f t="shared" si="80"/>
        <v>0</v>
      </c>
      <c r="BA80" s="24">
        <f t="shared" si="80"/>
        <v>0</v>
      </c>
      <c r="BB80" s="24">
        <f t="shared" si="99"/>
        <v>0</v>
      </c>
      <c r="BC80" s="24">
        <f t="shared" si="99"/>
        <v>0</v>
      </c>
      <c r="BD80" s="24">
        <f t="shared" si="99"/>
        <v>0</v>
      </c>
      <c r="BE80" s="24">
        <f t="shared" si="99"/>
        <v>0</v>
      </c>
      <c r="BF80" s="24">
        <f t="shared" si="99"/>
        <v>0</v>
      </c>
      <c r="BG80" s="24">
        <f t="shared" si="99"/>
        <v>0</v>
      </c>
      <c r="BH80" s="24">
        <f t="shared" si="99"/>
        <v>0</v>
      </c>
      <c r="BI80" s="24">
        <f t="shared" si="99"/>
        <v>0</v>
      </c>
      <c r="BJ80" s="24">
        <f t="shared" si="99"/>
        <v>0</v>
      </c>
      <c r="BK80" s="24">
        <f t="shared" si="99"/>
        <v>0</v>
      </c>
      <c r="BL80" s="24">
        <f t="shared" si="99"/>
        <v>0</v>
      </c>
      <c r="BM80" s="24">
        <f t="shared" si="99"/>
        <v>0</v>
      </c>
      <c r="BN80" s="24"/>
      <c r="BO80" s="24"/>
      <c r="BP80" s="24">
        <f t="shared" si="82"/>
        <v>0</v>
      </c>
      <c r="BQ80" s="24">
        <f t="shared" si="100"/>
        <v>0</v>
      </c>
      <c r="BR80" s="25">
        <f t="shared" si="94"/>
        <v>1</v>
      </c>
      <c r="BS80" s="24">
        <f t="shared" si="84"/>
        <v>10000000</v>
      </c>
      <c r="BT80" s="24"/>
      <c r="BU80" s="24"/>
      <c r="BV80" s="24"/>
      <c r="BW80" s="24"/>
      <c r="BX80" s="24">
        <f>+'[5]JULIO 2016'!$H$2297</f>
        <v>10000000</v>
      </c>
      <c r="BY80" s="24"/>
      <c r="BZ80" s="24"/>
      <c r="CA80" s="24"/>
      <c r="CB80" s="24"/>
      <c r="CC80" s="24"/>
      <c r="CD80" s="24"/>
      <c r="CE80" s="24"/>
      <c r="CF80" s="24"/>
      <c r="CG80" s="24"/>
      <c r="CH80" s="24"/>
      <c r="CI80" s="24"/>
      <c r="CJ80" s="24"/>
      <c r="CK80" s="24"/>
      <c r="CL80" s="24"/>
      <c r="CM80" s="24"/>
      <c r="CN80" s="25">
        <f t="shared" si="85"/>
        <v>0</v>
      </c>
      <c r="CO80" s="24">
        <f t="shared" si="86"/>
        <v>0</v>
      </c>
      <c r="CP80" s="24">
        <f t="shared" si="104"/>
        <v>0</v>
      </c>
      <c r="CQ80" s="24">
        <f t="shared" si="104"/>
        <v>0</v>
      </c>
      <c r="CR80" s="24">
        <f t="shared" si="104"/>
        <v>0</v>
      </c>
      <c r="CS80" s="24">
        <f t="shared" si="104"/>
        <v>0</v>
      </c>
      <c r="CT80" s="24">
        <f t="shared" si="104"/>
        <v>0</v>
      </c>
      <c r="CU80" s="24">
        <f t="shared" si="104"/>
        <v>0</v>
      </c>
      <c r="CV80" s="24">
        <f t="shared" ref="CV80:CX84" si="105">+N80-CA80</f>
        <v>0</v>
      </c>
      <c r="CW80" s="24">
        <f t="shared" si="105"/>
        <v>0</v>
      </c>
      <c r="CX80" s="24">
        <f t="shared" si="105"/>
        <v>0</v>
      </c>
      <c r="CY80" s="24">
        <f t="shared" si="89"/>
        <v>0</v>
      </c>
      <c r="CZ80" s="24">
        <f t="shared" si="89"/>
        <v>0</v>
      </c>
      <c r="DA80" s="24">
        <f t="shared" si="89"/>
        <v>0</v>
      </c>
      <c r="DB80" s="24">
        <f t="shared" si="102"/>
        <v>0</v>
      </c>
      <c r="DC80" s="24">
        <f t="shared" si="102"/>
        <v>0</v>
      </c>
      <c r="DD80" s="24">
        <f t="shared" si="102"/>
        <v>0</v>
      </c>
      <c r="DE80" s="24"/>
      <c r="DF80" s="24">
        <f t="shared" ref="DF80:DG84" si="106">+X80-CK80</f>
        <v>0</v>
      </c>
      <c r="DG80" s="54">
        <f t="shared" si="106"/>
        <v>0</v>
      </c>
      <c r="DH80" s="24">
        <f t="shared" si="103"/>
        <v>0</v>
      </c>
      <c r="DJ80" s="29">
        <f t="shared" si="54"/>
        <v>10000000</v>
      </c>
      <c r="DK80" s="29">
        <f t="shared" si="96"/>
        <v>10000000</v>
      </c>
      <c r="DL80" s="29">
        <f t="shared" si="97"/>
        <v>10000000</v>
      </c>
    </row>
    <row r="81" spans="1:117" ht="30.75" customHeight="1" x14ac:dyDescent="0.25">
      <c r="A81" s="229"/>
      <c r="B81" s="233"/>
      <c r="C81" s="20" t="s">
        <v>234</v>
      </c>
      <c r="D81" s="21" t="s">
        <v>235</v>
      </c>
      <c r="E81" s="22">
        <v>520</v>
      </c>
      <c r="F81" s="23" t="s">
        <v>91</v>
      </c>
      <c r="G81" s="24">
        <f>SUM(H81:Z81)</f>
        <v>10000000</v>
      </c>
      <c r="H81" s="33"/>
      <c r="I81" s="33"/>
      <c r="J81" s="33"/>
      <c r="K81" s="24">
        <v>10000000</v>
      </c>
      <c r="L81" s="33"/>
      <c r="M81" s="33"/>
      <c r="N81" s="33"/>
      <c r="O81" s="33"/>
      <c r="P81" s="33"/>
      <c r="Q81" s="28"/>
      <c r="R81" s="33"/>
      <c r="S81" s="45"/>
      <c r="T81" s="33"/>
      <c r="U81" s="33"/>
      <c r="V81" s="33"/>
      <c r="W81" s="33"/>
      <c r="X81" s="33"/>
      <c r="Y81" s="33"/>
      <c r="Z81" s="65"/>
      <c r="AA81" s="25">
        <f t="shared" si="93"/>
        <v>1</v>
      </c>
      <c r="AB81" s="24">
        <f t="shared" si="92"/>
        <v>10000000</v>
      </c>
      <c r="AC81" s="24"/>
      <c r="AD81" s="24"/>
      <c r="AE81" s="24"/>
      <c r="AF81" s="24"/>
      <c r="AG81" s="24">
        <f>+'[5]JULIO 2016'!$O$2306</f>
        <v>10000000</v>
      </c>
      <c r="AH81" s="24"/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  <c r="AW81" s="25">
        <f t="shared" si="95"/>
        <v>0</v>
      </c>
      <c r="AX81" s="24">
        <f t="shared" si="79"/>
        <v>0</v>
      </c>
      <c r="AY81" s="24">
        <f t="shared" si="80"/>
        <v>0</v>
      </c>
      <c r="AZ81" s="24">
        <f t="shared" si="80"/>
        <v>0</v>
      </c>
      <c r="BA81" s="24">
        <f t="shared" si="80"/>
        <v>0</v>
      </c>
      <c r="BB81" s="24">
        <f t="shared" si="99"/>
        <v>0</v>
      </c>
      <c r="BC81" s="24">
        <f t="shared" si="99"/>
        <v>0</v>
      </c>
      <c r="BD81" s="24">
        <f t="shared" si="99"/>
        <v>0</v>
      </c>
      <c r="BE81" s="24">
        <f t="shared" si="99"/>
        <v>0</v>
      </c>
      <c r="BF81" s="24">
        <f t="shared" si="99"/>
        <v>0</v>
      </c>
      <c r="BG81" s="24">
        <f t="shared" si="99"/>
        <v>0</v>
      </c>
      <c r="BH81" s="24">
        <f t="shared" si="99"/>
        <v>0</v>
      </c>
      <c r="BI81" s="24">
        <f t="shared" si="99"/>
        <v>0</v>
      </c>
      <c r="BJ81" s="24">
        <f t="shared" si="99"/>
        <v>0</v>
      </c>
      <c r="BK81" s="24">
        <f t="shared" si="99"/>
        <v>0</v>
      </c>
      <c r="BL81" s="24">
        <f t="shared" si="99"/>
        <v>0</v>
      </c>
      <c r="BM81" s="24">
        <f t="shared" si="99"/>
        <v>0</v>
      </c>
      <c r="BN81" s="24"/>
      <c r="BO81" s="24"/>
      <c r="BP81" s="24">
        <f t="shared" si="82"/>
        <v>0</v>
      </c>
      <c r="BQ81" s="24">
        <f t="shared" si="100"/>
        <v>0</v>
      </c>
      <c r="BR81" s="25">
        <f t="shared" si="94"/>
        <v>0</v>
      </c>
      <c r="BS81" s="24">
        <f t="shared" si="84"/>
        <v>0</v>
      </c>
      <c r="BT81" s="24"/>
      <c r="BU81" s="24"/>
      <c r="BV81" s="24"/>
      <c r="BW81" s="24"/>
      <c r="BX81" s="24"/>
      <c r="BY81" s="24"/>
      <c r="BZ81" s="24"/>
      <c r="CA81" s="24"/>
      <c r="CB81" s="24"/>
      <c r="CC81" s="24"/>
      <c r="CD81" s="24"/>
      <c r="CE81" s="24"/>
      <c r="CF81" s="24"/>
      <c r="CG81" s="24"/>
      <c r="CH81" s="24"/>
      <c r="CI81" s="24"/>
      <c r="CJ81" s="24"/>
      <c r="CK81" s="24"/>
      <c r="CL81" s="24"/>
      <c r="CM81" s="24"/>
      <c r="CN81" s="25">
        <f t="shared" si="85"/>
        <v>1</v>
      </c>
      <c r="CO81" s="24">
        <f t="shared" si="86"/>
        <v>10000000</v>
      </c>
      <c r="CP81" s="24">
        <f t="shared" si="104"/>
        <v>0</v>
      </c>
      <c r="CQ81" s="24">
        <f t="shared" si="104"/>
        <v>0</v>
      </c>
      <c r="CR81" s="24">
        <f t="shared" si="104"/>
        <v>0</v>
      </c>
      <c r="CS81" s="24">
        <f t="shared" si="104"/>
        <v>10000000</v>
      </c>
      <c r="CT81" s="24">
        <f t="shared" si="104"/>
        <v>0</v>
      </c>
      <c r="CU81" s="24">
        <f t="shared" si="104"/>
        <v>0</v>
      </c>
      <c r="CV81" s="24">
        <f t="shared" si="105"/>
        <v>0</v>
      </c>
      <c r="CW81" s="24">
        <f t="shared" si="105"/>
        <v>0</v>
      </c>
      <c r="CX81" s="24">
        <f t="shared" si="105"/>
        <v>0</v>
      </c>
      <c r="CY81" s="24">
        <f t="shared" si="89"/>
        <v>0</v>
      </c>
      <c r="CZ81" s="24">
        <f t="shared" si="89"/>
        <v>0</v>
      </c>
      <c r="DA81" s="24">
        <f t="shared" si="89"/>
        <v>0</v>
      </c>
      <c r="DB81" s="24">
        <f t="shared" si="102"/>
        <v>0</v>
      </c>
      <c r="DC81" s="24">
        <f t="shared" si="102"/>
        <v>0</v>
      </c>
      <c r="DD81" s="24">
        <f t="shared" si="102"/>
        <v>0</v>
      </c>
      <c r="DE81" s="24"/>
      <c r="DF81" s="24">
        <f t="shared" si="106"/>
        <v>0</v>
      </c>
      <c r="DG81" s="54">
        <f t="shared" si="106"/>
        <v>0</v>
      </c>
      <c r="DH81" s="24">
        <f t="shared" si="103"/>
        <v>0</v>
      </c>
      <c r="DJ81" s="29">
        <f t="shared" si="54"/>
        <v>10000000</v>
      </c>
      <c r="DK81" s="29">
        <f t="shared" si="96"/>
        <v>10000000</v>
      </c>
      <c r="DL81" s="29">
        <f t="shared" si="97"/>
        <v>10000000</v>
      </c>
    </row>
    <row r="82" spans="1:117" ht="35.25" customHeight="1" x14ac:dyDescent="0.25">
      <c r="A82" s="229"/>
      <c r="B82" s="231" t="s">
        <v>236</v>
      </c>
      <c r="C82" s="20" t="s">
        <v>237</v>
      </c>
      <c r="D82" s="66" t="s">
        <v>238</v>
      </c>
      <c r="E82" s="22">
        <v>520</v>
      </c>
      <c r="F82" s="67" t="s">
        <v>91</v>
      </c>
      <c r="G82" s="24">
        <f t="shared" si="78"/>
        <v>15000000</v>
      </c>
      <c r="H82" s="33"/>
      <c r="I82" s="33"/>
      <c r="J82" s="33"/>
      <c r="K82" s="45">
        <v>10000000</v>
      </c>
      <c r="L82" s="33"/>
      <c r="M82" s="33"/>
      <c r="N82" s="33"/>
      <c r="O82" s="33"/>
      <c r="P82" s="33"/>
      <c r="Q82" s="28"/>
      <c r="R82" s="33"/>
      <c r="S82" s="45">
        <f>25000000-20000000</f>
        <v>5000000</v>
      </c>
      <c r="T82" s="33"/>
      <c r="U82" s="33"/>
      <c r="V82" s="33"/>
      <c r="W82" s="33"/>
      <c r="X82" s="33"/>
      <c r="Y82" s="33"/>
      <c r="Z82" s="65"/>
      <c r="AA82" s="25">
        <f t="shared" si="93"/>
        <v>0.97333333333333338</v>
      </c>
      <c r="AB82" s="24">
        <f t="shared" si="92"/>
        <v>14600000</v>
      </c>
      <c r="AC82" s="24"/>
      <c r="AD82" s="24"/>
      <c r="AE82" s="24"/>
      <c r="AF82" s="24"/>
      <c r="AG82" s="24">
        <f>+'[2]ENERO 2016'!$O$816</f>
        <v>10000000</v>
      </c>
      <c r="AH82" s="24"/>
      <c r="AI82" s="24"/>
      <c r="AJ82" s="24"/>
      <c r="AK82" s="24"/>
      <c r="AL82" s="24"/>
      <c r="AM82" s="24"/>
      <c r="AN82" s="24"/>
      <c r="AO82" s="24">
        <f>+'[4]AGOSTO 2016'!$W$2973</f>
        <v>4600000</v>
      </c>
      <c r="AP82" s="24"/>
      <c r="AQ82" s="24"/>
      <c r="AR82" s="24"/>
      <c r="AS82" s="24"/>
      <c r="AT82" s="24"/>
      <c r="AU82" s="24"/>
      <c r="AV82" s="24"/>
      <c r="AW82" s="25">
        <f t="shared" si="95"/>
        <v>2.6666666666666616E-2</v>
      </c>
      <c r="AX82" s="24">
        <f t="shared" si="79"/>
        <v>400000</v>
      </c>
      <c r="AY82" s="24">
        <f t="shared" si="80"/>
        <v>0</v>
      </c>
      <c r="AZ82" s="24">
        <f t="shared" si="80"/>
        <v>0</v>
      </c>
      <c r="BA82" s="24">
        <f t="shared" si="80"/>
        <v>0</v>
      </c>
      <c r="BB82" s="24">
        <f t="shared" si="99"/>
        <v>0</v>
      </c>
      <c r="BC82" s="24">
        <f t="shared" si="99"/>
        <v>0</v>
      </c>
      <c r="BD82" s="24">
        <f t="shared" si="99"/>
        <v>0</v>
      </c>
      <c r="BE82" s="24">
        <f t="shared" si="99"/>
        <v>0</v>
      </c>
      <c r="BF82" s="24">
        <f t="shared" si="99"/>
        <v>0</v>
      </c>
      <c r="BG82" s="24">
        <f t="shared" si="99"/>
        <v>0</v>
      </c>
      <c r="BH82" s="24">
        <f t="shared" si="99"/>
        <v>0</v>
      </c>
      <c r="BI82" s="24">
        <f t="shared" si="99"/>
        <v>0</v>
      </c>
      <c r="BJ82" s="24">
        <f t="shared" si="99"/>
        <v>400000</v>
      </c>
      <c r="BK82" s="24">
        <f t="shared" si="99"/>
        <v>0</v>
      </c>
      <c r="BL82" s="24">
        <f t="shared" si="99"/>
        <v>0</v>
      </c>
      <c r="BM82" s="24">
        <f t="shared" si="99"/>
        <v>0</v>
      </c>
      <c r="BN82" s="24"/>
      <c r="BO82" s="24"/>
      <c r="BP82" s="24">
        <f t="shared" si="82"/>
        <v>0</v>
      </c>
      <c r="BQ82" s="24">
        <f t="shared" si="100"/>
        <v>0</v>
      </c>
      <c r="BR82" s="25">
        <f t="shared" si="94"/>
        <v>0.97333333333333338</v>
      </c>
      <c r="BS82" s="24">
        <f t="shared" si="84"/>
        <v>14600000</v>
      </c>
      <c r="BT82" s="24"/>
      <c r="BU82" s="24"/>
      <c r="BV82" s="24"/>
      <c r="BW82" s="24"/>
      <c r="BX82" s="24">
        <v>10000000</v>
      </c>
      <c r="BY82" s="24"/>
      <c r="BZ82" s="24"/>
      <c r="CA82" s="24"/>
      <c r="CB82" s="24"/>
      <c r="CC82" s="24"/>
      <c r="CD82" s="24"/>
      <c r="CE82" s="24"/>
      <c r="CF82" s="24">
        <f>+'[4]AGOSTO 2016'!$W$2973</f>
        <v>4600000</v>
      </c>
      <c r="CG82" s="24"/>
      <c r="CH82" s="24"/>
      <c r="CI82" s="24"/>
      <c r="CJ82" s="24"/>
      <c r="CK82" s="24"/>
      <c r="CL82" s="24"/>
      <c r="CM82" s="24"/>
      <c r="CN82" s="25">
        <f t="shared" si="85"/>
        <v>2.6666666666666616E-2</v>
      </c>
      <c r="CO82" s="24">
        <f t="shared" si="86"/>
        <v>400000</v>
      </c>
      <c r="CP82" s="24">
        <f t="shared" si="104"/>
        <v>0</v>
      </c>
      <c r="CQ82" s="24">
        <f t="shared" si="104"/>
        <v>0</v>
      </c>
      <c r="CR82" s="24">
        <f t="shared" si="104"/>
        <v>0</v>
      </c>
      <c r="CS82" s="24">
        <f t="shared" si="104"/>
        <v>0</v>
      </c>
      <c r="CT82" s="24">
        <f t="shared" si="104"/>
        <v>0</v>
      </c>
      <c r="CU82" s="24">
        <f t="shared" si="104"/>
        <v>0</v>
      </c>
      <c r="CV82" s="24">
        <f t="shared" si="105"/>
        <v>0</v>
      </c>
      <c r="CW82" s="24">
        <f t="shared" si="105"/>
        <v>0</v>
      </c>
      <c r="CX82" s="24">
        <f t="shared" si="105"/>
        <v>0</v>
      </c>
      <c r="CY82" s="24">
        <f t="shared" si="89"/>
        <v>0</v>
      </c>
      <c r="CZ82" s="24">
        <f t="shared" si="89"/>
        <v>0</v>
      </c>
      <c r="DA82" s="24">
        <f t="shared" si="89"/>
        <v>400000</v>
      </c>
      <c r="DB82" s="24">
        <f t="shared" si="102"/>
        <v>0</v>
      </c>
      <c r="DC82" s="24">
        <f t="shared" si="102"/>
        <v>0</v>
      </c>
      <c r="DD82" s="24">
        <f t="shared" si="102"/>
        <v>0</v>
      </c>
      <c r="DE82" s="24"/>
      <c r="DF82" s="24">
        <f t="shared" si="106"/>
        <v>0</v>
      </c>
      <c r="DG82" s="54">
        <f t="shared" si="106"/>
        <v>0</v>
      </c>
      <c r="DH82" s="24">
        <f t="shared" si="103"/>
        <v>0</v>
      </c>
      <c r="DJ82" s="29">
        <f t="shared" si="54"/>
        <v>15000000</v>
      </c>
      <c r="DK82" s="29">
        <f t="shared" si="96"/>
        <v>15000000</v>
      </c>
      <c r="DL82" s="29">
        <f t="shared" si="97"/>
        <v>15000000</v>
      </c>
    </row>
    <row r="83" spans="1:117" ht="30" x14ac:dyDescent="0.25">
      <c r="A83" s="229"/>
      <c r="B83" s="232"/>
      <c r="C83" s="20" t="s">
        <v>239</v>
      </c>
      <c r="D83" s="66" t="s">
        <v>240</v>
      </c>
      <c r="E83" s="22">
        <v>520</v>
      </c>
      <c r="F83" s="67" t="s">
        <v>91</v>
      </c>
      <c r="G83" s="24">
        <f t="shared" si="78"/>
        <v>20000000</v>
      </c>
      <c r="H83" s="33"/>
      <c r="I83" s="33"/>
      <c r="J83" s="33"/>
      <c r="K83" s="45">
        <v>10000000</v>
      </c>
      <c r="L83" s="33"/>
      <c r="M83" s="33"/>
      <c r="N83" s="33"/>
      <c r="O83" s="33"/>
      <c r="P83" s="33"/>
      <c r="Q83" s="28"/>
      <c r="R83" s="33"/>
      <c r="S83" s="45">
        <v>10000000</v>
      </c>
      <c r="T83" s="33"/>
      <c r="U83" s="33"/>
      <c r="V83" s="33"/>
      <c r="W83" s="33"/>
      <c r="X83" s="33"/>
      <c r="Y83" s="33"/>
      <c r="Z83" s="65"/>
      <c r="AA83" s="25">
        <f t="shared" si="93"/>
        <v>0.38760620000000001</v>
      </c>
      <c r="AB83" s="24">
        <f t="shared" si="92"/>
        <v>7752124</v>
      </c>
      <c r="AC83" s="24"/>
      <c r="AD83" s="24"/>
      <c r="AE83" s="24"/>
      <c r="AF83" s="24"/>
      <c r="AG83" s="24">
        <f>+'[1]SEPTIEMBRE 2016'!$O$3500</f>
        <v>7752124</v>
      </c>
      <c r="AH83" s="24"/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5">
        <f t="shared" si="95"/>
        <v>0.61239379999999999</v>
      </c>
      <c r="AX83" s="24">
        <f t="shared" si="79"/>
        <v>12247876</v>
      </c>
      <c r="AY83" s="24">
        <f t="shared" si="80"/>
        <v>0</v>
      </c>
      <c r="AZ83" s="24">
        <f t="shared" si="80"/>
        <v>0</v>
      </c>
      <c r="BA83" s="24">
        <f t="shared" si="80"/>
        <v>0</v>
      </c>
      <c r="BB83" s="24">
        <f t="shared" si="99"/>
        <v>2247876</v>
      </c>
      <c r="BC83" s="24">
        <f t="shared" si="99"/>
        <v>0</v>
      </c>
      <c r="BD83" s="24">
        <f t="shared" si="99"/>
        <v>0</v>
      </c>
      <c r="BE83" s="24">
        <f t="shared" si="99"/>
        <v>0</v>
      </c>
      <c r="BF83" s="24">
        <f t="shared" si="99"/>
        <v>0</v>
      </c>
      <c r="BG83" s="24">
        <f t="shared" si="99"/>
        <v>0</v>
      </c>
      <c r="BH83" s="24">
        <f t="shared" si="99"/>
        <v>0</v>
      </c>
      <c r="BI83" s="24">
        <f t="shared" si="99"/>
        <v>0</v>
      </c>
      <c r="BJ83" s="24">
        <f t="shared" si="99"/>
        <v>10000000</v>
      </c>
      <c r="BK83" s="24">
        <f t="shared" si="99"/>
        <v>0</v>
      </c>
      <c r="BL83" s="24">
        <f t="shared" si="99"/>
        <v>0</v>
      </c>
      <c r="BM83" s="24">
        <f t="shared" si="99"/>
        <v>0</v>
      </c>
      <c r="BN83" s="24"/>
      <c r="BO83" s="24"/>
      <c r="BP83" s="24">
        <f t="shared" si="82"/>
        <v>0</v>
      </c>
      <c r="BQ83" s="24">
        <f t="shared" si="100"/>
        <v>0</v>
      </c>
      <c r="BR83" s="25">
        <f t="shared" si="94"/>
        <v>0.38760620000000001</v>
      </c>
      <c r="BS83" s="24">
        <f t="shared" si="84"/>
        <v>7752124</v>
      </c>
      <c r="BT83" s="24"/>
      <c r="BU83" s="24"/>
      <c r="BV83" s="24"/>
      <c r="BW83" s="24"/>
      <c r="BX83" s="24">
        <f>+'[1]SEPTIEMBRE 2016'!$H$3498</f>
        <v>7752124</v>
      </c>
      <c r="BY83" s="24"/>
      <c r="BZ83" s="24"/>
      <c r="CA83" s="24"/>
      <c r="CB83" s="24"/>
      <c r="CC83" s="24"/>
      <c r="CD83" s="24"/>
      <c r="CE83" s="24"/>
      <c r="CF83" s="24"/>
      <c r="CG83" s="24"/>
      <c r="CH83" s="24"/>
      <c r="CI83" s="24"/>
      <c r="CJ83" s="24"/>
      <c r="CK83" s="24"/>
      <c r="CL83" s="24"/>
      <c r="CM83" s="24"/>
      <c r="CN83" s="25">
        <f t="shared" si="85"/>
        <v>0.61239379999999999</v>
      </c>
      <c r="CO83" s="24">
        <f t="shared" si="86"/>
        <v>12247876</v>
      </c>
      <c r="CP83" s="24">
        <f t="shared" si="104"/>
        <v>0</v>
      </c>
      <c r="CQ83" s="24">
        <f t="shared" si="104"/>
        <v>0</v>
      </c>
      <c r="CR83" s="24">
        <f t="shared" si="104"/>
        <v>0</v>
      </c>
      <c r="CS83" s="24">
        <f t="shared" si="104"/>
        <v>2247876</v>
      </c>
      <c r="CT83" s="24">
        <f t="shared" si="104"/>
        <v>0</v>
      </c>
      <c r="CU83" s="24">
        <f t="shared" si="104"/>
        <v>0</v>
      </c>
      <c r="CV83" s="24">
        <f t="shared" si="105"/>
        <v>0</v>
      </c>
      <c r="CW83" s="24">
        <f t="shared" si="105"/>
        <v>0</v>
      </c>
      <c r="CX83" s="24">
        <f t="shared" si="105"/>
        <v>0</v>
      </c>
      <c r="CY83" s="24">
        <f t="shared" si="89"/>
        <v>0</v>
      </c>
      <c r="CZ83" s="24">
        <f t="shared" si="89"/>
        <v>0</v>
      </c>
      <c r="DA83" s="24">
        <f t="shared" si="89"/>
        <v>10000000</v>
      </c>
      <c r="DB83" s="24">
        <f t="shared" si="102"/>
        <v>0</v>
      </c>
      <c r="DC83" s="24">
        <f t="shared" si="102"/>
        <v>0</v>
      </c>
      <c r="DD83" s="24">
        <f t="shared" si="102"/>
        <v>0</v>
      </c>
      <c r="DE83" s="24"/>
      <c r="DF83" s="24">
        <f t="shared" si="106"/>
        <v>0</v>
      </c>
      <c r="DG83" s="54">
        <f t="shared" si="106"/>
        <v>0</v>
      </c>
      <c r="DH83" s="24">
        <f t="shared" si="103"/>
        <v>0</v>
      </c>
      <c r="DJ83" s="29">
        <f t="shared" si="54"/>
        <v>20000000</v>
      </c>
      <c r="DK83" s="29">
        <f t="shared" si="96"/>
        <v>20000000</v>
      </c>
      <c r="DL83" s="29">
        <f t="shared" si="97"/>
        <v>20000000</v>
      </c>
    </row>
    <row r="84" spans="1:117" ht="30.75" customHeight="1" x14ac:dyDescent="0.25">
      <c r="A84" s="229"/>
      <c r="B84" s="232"/>
      <c r="C84" s="20" t="s">
        <v>241</v>
      </c>
      <c r="D84" s="66" t="s">
        <v>242</v>
      </c>
      <c r="E84" s="22">
        <v>520</v>
      </c>
      <c r="F84" s="67" t="s">
        <v>91</v>
      </c>
      <c r="G84" s="24">
        <f t="shared" si="78"/>
        <v>5000000</v>
      </c>
      <c r="H84" s="33"/>
      <c r="I84" s="33"/>
      <c r="J84" s="33"/>
      <c r="K84" s="24">
        <v>1098558</v>
      </c>
      <c r="L84" s="33"/>
      <c r="M84" s="33"/>
      <c r="N84" s="33"/>
      <c r="O84" s="33"/>
      <c r="P84" s="33"/>
      <c r="Q84" s="28"/>
      <c r="R84" s="33"/>
      <c r="S84" s="45">
        <f>48901442-45000000</f>
        <v>3901442</v>
      </c>
      <c r="T84" s="33"/>
      <c r="U84" s="33"/>
      <c r="V84" s="33"/>
      <c r="W84" s="33"/>
      <c r="X84" s="33"/>
      <c r="Y84" s="33"/>
      <c r="Z84" s="65"/>
      <c r="AA84" s="25">
        <f t="shared" si="93"/>
        <v>0</v>
      </c>
      <c r="AB84" s="24">
        <f t="shared" si="92"/>
        <v>0</v>
      </c>
      <c r="AC84" s="24"/>
      <c r="AD84" s="24"/>
      <c r="AE84" s="24"/>
      <c r="AF84" s="24"/>
      <c r="AG84" s="24"/>
      <c r="AH84" s="24"/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  <c r="AV84" s="24"/>
      <c r="AW84" s="25">
        <f t="shared" si="95"/>
        <v>1</v>
      </c>
      <c r="AX84" s="24">
        <f t="shared" si="79"/>
        <v>5000000</v>
      </c>
      <c r="AY84" s="24">
        <f t="shared" si="80"/>
        <v>0</v>
      </c>
      <c r="AZ84" s="24">
        <f t="shared" si="80"/>
        <v>0</v>
      </c>
      <c r="BA84" s="24">
        <f t="shared" si="80"/>
        <v>0</v>
      </c>
      <c r="BB84" s="24">
        <f t="shared" si="99"/>
        <v>1098558</v>
      </c>
      <c r="BC84" s="24">
        <f t="shared" si="99"/>
        <v>0</v>
      </c>
      <c r="BD84" s="24">
        <f t="shared" si="99"/>
        <v>0</v>
      </c>
      <c r="BE84" s="24">
        <f t="shared" si="99"/>
        <v>0</v>
      </c>
      <c r="BF84" s="24">
        <f t="shared" si="99"/>
        <v>0</v>
      </c>
      <c r="BG84" s="24">
        <f t="shared" si="99"/>
        <v>0</v>
      </c>
      <c r="BH84" s="24">
        <f t="shared" si="99"/>
        <v>0</v>
      </c>
      <c r="BI84" s="24">
        <f t="shared" si="99"/>
        <v>0</v>
      </c>
      <c r="BJ84" s="24">
        <f t="shared" si="99"/>
        <v>3901442</v>
      </c>
      <c r="BK84" s="24">
        <f t="shared" si="99"/>
        <v>0</v>
      </c>
      <c r="BL84" s="24">
        <f t="shared" si="99"/>
        <v>0</v>
      </c>
      <c r="BM84" s="24">
        <f t="shared" si="99"/>
        <v>0</v>
      </c>
      <c r="BN84" s="24"/>
      <c r="BO84" s="24"/>
      <c r="BP84" s="24">
        <f t="shared" si="82"/>
        <v>0</v>
      </c>
      <c r="BQ84" s="24">
        <f t="shared" si="100"/>
        <v>0</v>
      </c>
      <c r="BR84" s="25">
        <f t="shared" si="94"/>
        <v>0</v>
      </c>
      <c r="BS84" s="24">
        <f t="shared" si="84"/>
        <v>0</v>
      </c>
      <c r="BT84" s="24"/>
      <c r="BU84" s="24"/>
      <c r="BV84" s="24"/>
      <c r="BW84" s="24"/>
      <c r="BX84" s="24"/>
      <c r="BY84" s="24"/>
      <c r="BZ84" s="24"/>
      <c r="CA84" s="24"/>
      <c r="CB84" s="24"/>
      <c r="CC84" s="24"/>
      <c r="CD84" s="24"/>
      <c r="CE84" s="24"/>
      <c r="CF84" s="24"/>
      <c r="CG84" s="24"/>
      <c r="CH84" s="24"/>
      <c r="CI84" s="24"/>
      <c r="CJ84" s="24"/>
      <c r="CK84" s="24"/>
      <c r="CL84" s="24"/>
      <c r="CM84" s="24"/>
      <c r="CN84" s="25">
        <f t="shared" si="85"/>
        <v>1</v>
      </c>
      <c r="CO84" s="24">
        <f t="shared" si="86"/>
        <v>5000000</v>
      </c>
      <c r="CP84" s="24">
        <f t="shared" si="104"/>
        <v>0</v>
      </c>
      <c r="CQ84" s="24">
        <f t="shared" si="104"/>
        <v>0</v>
      </c>
      <c r="CR84" s="24">
        <f t="shared" si="104"/>
        <v>0</v>
      </c>
      <c r="CS84" s="24">
        <f t="shared" si="104"/>
        <v>1098558</v>
      </c>
      <c r="CT84" s="24">
        <f t="shared" si="104"/>
        <v>0</v>
      </c>
      <c r="CU84" s="24">
        <f t="shared" si="104"/>
        <v>0</v>
      </c>
      <c r="CV84" s="24">
        <f t="shared" si="105"/>
        <v>0</v>
      </c>
      <c r="CW84" s="24">
        <f t="shared" si="105"/>
        <v>0</v>
      </c>
      <c r="CX84" s="24">
        <f t="shared" si="105"/>
        <v>0</v>
      </c>
      <c r="CY84" s="24">
        <f t="shared" si="89"/>
        <v>0</v>
      </c>
      <c r="CZ84" s="24">
        <f t="shared" si="89"/>
        <v>0</v>
      </c>
      <c r="DA84" s="24">
        <f t="shared" si="89"/>
        <v>3901442</v>
      </c>
      <c r="DB84" s="24">
        <f t="shared" si="102"/>
        <v>0</v>
      </c>
      <c r="DC84" s="24">
        <f t="shared" si="102"/>
        <v>0</v>
      </c>
      <c r="DD84" s="24">
        <f t="shared" si="102"/>
        <v>0</v>
      </c>
      <c r="DE84" s="24"/>
      <c r="DF84" s="24">
        <f t="shared" si="106"/>
        <v>0</v>
      </c>
      <c r="DG84" s="54">
        <f t="shared" si="106"/>
        <v>0</v>
      </c>
      <c r="DH84" s="24">
        <f t="shared" si="103"/>
        <v>0</v>
      </c>
      <c r="DJ84" s="29">
        <f t="shared" si="54"/>
        <v>5000000</v>
      </c>
      <c r="DK84" s="29">
        <f t="shared" si="96"/>
        <v>5000000</v>
      </c>
      <c r="DL84" s="29">
        <f t="shared" si="97"/>
        <v>5000000</v>
      </c>
    </row>
    <row r="85" spans="1:117" ht="21" customHeight="1" x14ac:dyDescent="0.25">
      <c r="A85" s="229"/>
      <c r="B85" s="233"/>
      <c r="C85" s="20" t="s">
        <v>243</v>
      </c>
      <c r="D85" s="66" t="s">
        <v>244</v>
      </c>
      <c r="E85" s="22">
        <v>520</v>
      </c>
      <c r="F85" s="67" t="s">
        <v>91</v>
      </c>
      <c r="G85" s="24">
        <f t="shared" si="78"/>
        <v>20000000</v>
      </c>
      <c r="H85" s="33"/>
      <c r="I85" s="33"/>
      <c r="J85" s="33"/>
      <c r="K85" s="24">
        <v>10000000</v>
      </c>
      <c r="L85" s="33"/>
      <c r="M85" s="33"/>
      <c r="N85" s="33"/>
      <c r="O85" s="33"/>
      <c r="P85" s="33"/>
      <c r="Q85" s="28"/>
      <c r="R85" s="33"/>
      <c r="S85" s="45">
        <v>10000000</v>
      </c>
      <c r="T85" s="33"/>
      <c r="U85" s="33"/>
      <c r="V85" s="33"/>
      <c r="W85" s="33"/>
      <c r="X85" s="33"/>
      <c r="Y85" s="33"/>
      <c r="Z85" s="65"/>
      <c r="AA85" s="25">
        <f t="shared" si="93"/>
        <v>0.72813795000000003</v>
      </c>
      <c r="AB85" s="24">
        <f t="shared" si="92"/>
        <v>14562759</v>
      </c>
      <c r="AC85" s="24"/>
      <c r="AD85" s="24"/>
      <c r="AE85" s="24"/>
      <c r="AF85" s="24"/>
      <c r="AG85" s="24">
        <f>+'[8]ABRIL 2016'!$O$1609</f>
        <v>9950000</v>
      </c>
      <c r="AH85" s="24"/>
      <c r="AI85" s="24"/>
      <c r="AJ85" s="24"/>
      <c r="AK85" s="24"/>
      <c r="AL85" s="24"/>
      <c r="AM85" s="24"/>
      <c r="AN85" s="24"/>
      <c r="AO85" s="24">
        <f>+'[4]AGOSTO 2016'!$W$2993</f>
        <v>4612759</v>
      </c>
      <c r="AP85" s="24"/>
      <c r="AQ85" s="24"/>
      <c r="AR85" s="24"/>
      <c r="AS85" s="24"/>
      <c r="AT85" s="24"/>
      <c r="AU85" s="24"/>
      <c r="AV85" s="24"/>
      <c r="AW85" s="25">
        <f t="shared" si="95"/>
        <v>0.27186204999999997</v>
      </c>
      <c r="AX85" s="24">
        <f t="shared" si="79"/>
        <v>5437241</v>
      </c>
      <c r="AY85" s="24">
        <f t="shared" si="80"/>
        <v>0</v>
      </c>
      <c r="AZ85" s="24">
        <f t="shared" si="80"/>
        <v>0</v>
      </c>
      <c r="BA85" s="24">
        <f t="shared" si="80"/>
        <v>0</v>
      </c>
      <c r="BB85" s="24">
        <f t="shared" si="99"/>
        <v>50000</v>
      </c>
      <c r="BC85" s="24">
        <f t="shared" si="99"/>
        <v>0</v>
      </c>
      <c r="BD85" s="24">
        <f t="shared" si="99"/>
        <v>0</v>
      </c>
      <c r="BE85" s="24">
        <f t="shared" si="99"/>
        <v>0</v>
      </c>
      <c r="BF85" s="24">
        <f t="shared" si="99"/>
        <v>0</v>
      </c>
      <c r="BG85" s="24">
        <f t="shared" si="99"/>
        <v>0</v>
      </c>
      <c r="BH85" s="24">
        <f t="shared" si="99"/>
        <v>0</v>
      </c>
      <c r="BI85" s="24">
        <f t="shared" si="99"/>
        <v>0</v>
      </c>
      <c r="BJ85" s="24">
        <f t="shared" si="99"/>
        <v>5387241</v>
      </c>
      <c r="BK85" s="24">
        <f t="shared" si="99"/>
        <v>0</v>
      </c>
      <c r="BL85" s="24">
        <f t="shared" si="99"/>
        <v>0</v>
      </c>
      <c r="BM85" s="24">
        <f t="shared" si="99"/>
        <v>0</v>
      </c>
      <c r="BN85" s="24"/>
      <c r="BO85" s="24">
        <f>+X85-AT85</f>
        <v>0</v>
      </c>
      <c r="BP85" s="24">
        <f t="shared" si="82"/>
        <v>0</v>
      </c>
      <c r="BQ85" s="24">
        <f t="shared" si="100"/>
        <v>0</v>
      </c>
      <c r="BR85" s="25">
        <f t="shared" si="94"/>
        <v>0.72813795000000003</v>
      </c>
      <c r="BS85" s="24">
        <f t="shared" si="84"/>
        <v>14562759</v>
      </c>
      <c r="BT85" s="24"/>
      <c r="BU85" s="24"/>
      <c r="BV85" s="24"/>
      <c r="BW85" s="24"/>
      <c r="BX85" s="24">
        <v>9950000</v>
      </c>
      <c r="BY85" s="24"/>
      <c r="BZ85" s="24"/>
      <c r="CA85" s="24"/>
      <c r="CB85" s="24"/>
      <c r="CC85" s="24"/>
      <c r="CD85" s="24"/>
      <c r="CE85" s="24"/>
      <c r="CF85" s="24">
        <f>+'[4]AGOSTO 2016'!$W$2993</f>
        <v>4612759</v>
      </c>
      <c r="CG85" s="24"/>
      <c r="CH85" s="24"/>
      <c r="CI85" s="24"/>
      <c r="CJ85" s="24"/>
      <c r="CK85" s="24"/>
      <c r="CL85" s="24"/>
      <c r="CM85" s="24"/>
      <c r="CN85" s="25">
        <f t="shared" si="85"/>
        <v>0.27186204999999997</v>
      </c>
      <c r="CO85" s="24">
        <f t="shared" si="86"/>
        <v>5437241</v>
      </c>
      <c r="CP85" s="24">
        <f t="shared" si="104"/>
        <v>0</v>
      </c>
      <c r="CQ85" s="24">
        <f t="shared" si="104"/>
        <v>0</v>
      </c>
      <c r="CR85" s="24">
        <f t="shared" si="104"/>
        <v>0</v>
      </c>
      <c r="CS85" s="24">
        <f t="shared" si="104"/>
        <v>50000</v>
      </c>
      <c r="CT85" s="24">
        <f t="shared" si="104"/>
        <v>0</v>
      </c>
      <c r="CU85" s="24">
        <f t="shared" si="104"/>
        <v>0</v>
      </c>
      <c r="CV85" s="24">
        <f>N85-CA85</f>
        <v>0</v>
      </c>
      <c r="CW85" s="24">
        <f>O85-CB85</f>
        <v>0</v>
      </c>
      <c r="CX85" s="24">
        <f>P85-CC85</f>
        <v>0</v>
      </c>
      <c r="CY85" s="24">
        <f t="shared" si="89"/>
        <v>0</v>
      </c>
      <c r="CZ85" s="24">
        <f t="shared" si="89"/>
        <v>0</v>
      </c>
      <c r="DA85" s="24">
        <f t="shared" si="89"/>
        <v>5387241</v>
      </c>
      <c r="DB85" s="24">
        <f>T85-CG85</f>
        <v>0</v>
      </c>
      <c r="DC85" s="24">
        <f>U85-CH85</f>
        <v>0</v>
      </c>
      <c r="DD85" s="24">
        <f>V85-CI85</f>
        <v>0</v>
      </c>
      <c r="DE85" s="24"/>
      <c r="DF85" s="24">
        <f>X85-CK85</f>
        <v>0</v>
      </c>
      <c r="DG85" s="24">
        <f>Y85-CL85</f>
        <v>0</v>
      </c>
      <c r="DH85" s="24">
        <f>Z85-CM85</f>
        <v>0</v>
      </c>
      <c r="DJ85" s="29">
        <f t="shared" si="54"/>
        <v>20000000</v>
      </c>
      <c r="DK85" s="29">
        <f t="shared" si="96"/>
        <v>20000000</v>
      </c>
      <c r="DL85" s="29">
        <f t="shared" si="97"/>
        <v>20000000</v>
      </c>
    </row>
    <row r="86" spans="1:117" s="58" customFormat="1" ht="35.25" customHeight="1" x14ac:dyDescent="0.25">
      <c r="A86" s="229" t="s">
        <v>183</v>
      </c>
      <c r="B86" s="231" t="s">
        <v>245</v>
      </c>
      <c r="C86" s="68" t="s">
        <v>246</v>
      </c>
      <c r="D86" s="21" t="s">
        <v>247</v>
      </c>
      <c r="E86" s="31">
        <v>520</v>
      </c>
      <c r="F86" s="67" t="s">
        <v>91</v>
      </c>
      <c r="G86" s="24">
        <f t="shared" si="78"/>
        <v>6000000</v>
      </c>
      <c r="H86" s="28"/>
      <c r="I86" s="28"/>
      <c r="J86" s="28"/>
      <c r="K86" s="54">
        <v>6000000</v>
      </c>
      <c r="L86" s="28"/>
      <c r="M86" s="28"/>
      <c r="N86" s="28"/>
      <c r="O86" s="28"/>
      <c r="P86" s="28"/>
      <c r="Q86" s="28"/>
      <c r="R86" s="28"/>
      <c r="S86" s="45"/>
      <c r="T86" s="54"/>
      <c r="U86" s="54"/>
      <c r="V86" s="54"/>
      <c r="W86" s="54"/>
      <c r="X86" s="54"/>
      <c r="Y86" s="54"/>
      <c r="Z86" s="54"/>
      <c r="AA86" s="57">
        <f t="shared" si="93"/>
        <v>0.6</v>
      </c>
      <c r="AB86" s="24">
        <f t="shared" si="92"/>
        <v>3600000</v>
      </c>
      <c r="AC86" s="54"/>
      <c r="AD86" s="54"/>
      <c r="AE86" s="54"/>
      <c r="AF86" s="54"/>
      <c r="AG86" s="24">
        <f>+'[1]SEPTIEMBRE 2016'!$O$3529</f>
        <v>3600000</v>
      </c>
      <c r="AH86" s="54"/>
      <c r="AI86" s="54"/>
      <c r="AJ86" s="54"/>
      <c r="AK86" s="54"/>
      <c r="AL86" s="54"/>
      <c r="AM86" s="54"/>
      <c r="AN86" s="54"/>
      <c r="AO86" s="54"/>
      <c r="AP86" s="54"/>
      <c r="AQ86" s="54"/>
      <c r="AR86" s="54"/>
      <c r="AS86" s="54"/>
      <c r="AT86" s="54"/>
      <c r="AU86" s="54"/>
      <c r="AV86" s="54"/>
      <c r="AW86" s="57">
        <f t="shared" si="95"/>
        <v>0.4</v>
      </c>
      <c r="AX86" s="24">
        <f t="shared" si="79"/>
        <v>2400000</v>
      </c>
      <c r="AY86" s="54">
        <f t="shared" si="80"/>
        <v>0</v>
      </c>
      <c r="AZ86" s="54">
        <f t="shared" si="80"/>
        <v>0</v>
      </c>
      <c r="BA86" s="24">
        <f t="shared" si="80"/>
        <v>0</v>
      </c>
      <c r="BB86" s="54">
        <f t="shared" si="99"/>
        <v>2400000</v>
      </c>
      <c r="BC86" s="54">
        <f t="shared" si="99"/>
        <v>0</v>
      </c>
      <c r="BD86" s="24">
        <f t="shared" si="99"/>
        <v>0</v>
      </c>
      <c r="BE86" s="54">
        <f t="shared" si="99"/>
        <v>0</v>
      </c>
      <c r="BF86" s="54">
        <f t="shared" si="99"/>
        <v>0</v>
      </c>
      <c r="BG86" s="24">
        <f t="shared" si="99"/>
        <v>0</v>
      </c>
      <c r="BH86" s="54">
        <f t="shared" si="99"/>
        <v>0</v>
      </c>
      <c r="BI86" s="54">
        <f t="shared" si="99"/>
        <v>0</v>
      </c>
      <c r="BJ86" s="54">
        <f t="shared" si="99"/>
        <v>0</v>
      </c>
      <c r="BK86" s="54">
        <f t="shared" si="99"/>
        <v>0</v>
      </c>
      <c r="BL86" s="54">
        <f t="shared" si="99"/>
        <v>0</v>
      </c>
      <c r="BM86" s="54">
        <f t="shared" si="99"/>
        <v>0</v>
      </c>
      <c r="BN86" s="54"/>
      <c r="BO86" s="54"/>
      <c r="BP86" s="24">
        <f t="shared" si="82"/>
        <v>0</v>
      </c>
      <c r="BQ86" s="54">
        <f t="shared" si="100"/>
        <v>0</v>
      </c>
      <c r="BR86" s="57">
        <f t="shared" si="94"/>
        <v>0.6</v>
      </c>
      <c r="BS86" s="24">
        <f t="shared" si="84"/>
        <v>3600000</v>
      </c>
      <c r="BT86" s="54"/>
      <c r="BU86" s="54"/>
      <c r="BV86" s="54"/>
      <c r="BW86" s="54"/>
      <c r="BX86" s="54">
        <f>+'[1]SEPTIEMBRE 2016'!$H$3527</f>
        <v>3600000</v>
      </c>
      <c r="BY86" s="54"/>
      <c r="BZ86" s="54"/>
      <c r="CA86" s="54"/>
      <c r="CB86" s="54"/>
      <c r="CC86" s="54"/>
      <c r="CD86" s="54"/>
      <c r="CE86" s="54"/>
      <c r="CF86" s="54"/>
      <c r="CG86" s="54"/>
      <c r="CH86" s="54"/>
      <c r="CI86" s="54"/>
      <c r="CJ86" s="54"/>
      <c r="CK86" s="54"/>
      <c r="CL86" s="54"/>
      <c r="CM86" s="54"/>
      <c r="CN86" s="57">
        <f t="shared" si="85"/>
        <v>0.4</v>
      </c>
      <c r="CO86" s="24">
        <f t="shared" si="86"/>
        <v>2400000</v>
      </c>
      <c r="CP86" s="24">
        <f t="shared" si="104"/>
        <v>0</v>
      </c>
      <c r="CQ86" s="54">
        <f t="shared" si="104"/>
        <v>0</v>
      </c>
      <c r="CR86" s="24">
        <f t="shared" si="104"/>
        <v>0</v>
      </c>
      <c r="CS86" s="54">
        <f t="shared" si="104"/>
        <v>2400000</v>
      </c>
      <c r="CT86" s="54">
        <f t="shared" si="104"/>
        <v>0</v>
      </c>
      <c r="CU86" s="24">
        <f t="shared" si="104"/>
        <v>0</v>
      </c>
      <c r="CV86" s="54">
        <f t="shared" ref="CV86:DD92" si="107">+N86-CA86</f>
        <v>0</v>
      </c>
      <c r="CW86" s="54">
        <f t="shared" si="107"/>
        <v>0</v>
      </c>
      <c r="CX86" s="24">
        <f t="shared" si="107"/>
        <v>0</v>
      </c>
      <c r="CY86" s="54">
        <f t="shared" si="89"/>
        <v>0</v>
      </c>
      <c r="CZ86" s="54">
        <f t="shared" si="89"/>
        <v>0</v>
      </c>
      <c r="DA86" s="54">
        <f t="shared" si="89"/>
        <v>0</v>
      </c>
      <c r="DB86" s="54">
        <f>+T86-CG86</f>
        <v>0</v>
      </c>
      <c r="DC86" s="54">
        <f>+U86-CH86</f>
        <v>0</v>
      </c>
      <c r="DD86" s="54">
        <f>+V86-CI86</f>
        <v>0</v>
      </c>
      <c r="DE86" s="54"/>
      <c r="DF86" s="54">
        <f>+X86-CK86</f>
        <v>0</v>
      </c>
      <c r="DG86" s="54">
        <f>+Y86-CL86</f>
        <v>0</v>
      </c>
      <c r="DH86" s="54">
        <f>+Z86-CM86</f>
        <v>0</v>
      </c>
      <c r="DJ86" s="29">
        <f t="shared" si="54"/>
        <v>6000000</v>
      </c>
      <c r="DK86" s="29">
        <f t="shared" si="96"/>
        <v>6000000</v>
      </c>
      <c r="DL86" s="29">
        <f t="shared" si="97"/>
        <v>6000000</v>
      </c>
    </row>
    <row r="87" spans="1:117" s="58" customFormat="1" ht="49.5" customHeight="1" x14ac:dyDescent="0.25">
      <c r="A87" s="229"/>
      <c r="B87" s="233"/>
      <c r="C87" s="68" t="s">
        <v>248</v>
      </c>
      <c r="D87" s="21" t="s">
        <v>249</v>
      </c>
      <c r="E87" s="31">
        <v>520</v>
      </c>
      <c r="F87" s="67" t="s">
        <v>91</v>
      </c>
      <c r="G87" s="24">
        <f t="shared" si="78"/>
        <v>6000000</v>
      </c>
      <c r="H87" s="28"/>
      <c r="I87" s="28"/>
      <c r="J87" s="28"/>
      <c r="K87" s="56">
        <v>6000000</v>
      </c>
      <c r="L87" s="28"/>
      <c r="M87" s="28"/>
      <c r="N87" s="28"/>
      <c r="O87" s="28"/>
      <c r="P87" s="28"/>
      <c r="Q87" s="28"/>
      <c r="R87" s="28"/>
      <c r="S87" s="45"/>
      <c r="T87" s="54"/>
      <c r="U87" s="54"/>
      <c r="V87" s="54"/>
      <c r="W87" s="54"/>
      <c r="X87" s="54"/>
      <c r="Y87" s="54"/>
      <c r="Z87" s="54"/>
      <c r="AA87" s="57">
        <f t="shared" si="93"/>
        <v>0</v>
      </c>
      <c r="AB87" s="24">
        <f t="shared" si="92"/>
        <v>0</v>
      </c>
      <c r="AC87" s="54"/>
      <c r="AD87" s="54"/>
      <c r="AE87" s="54"/>
      <c r="AF87" s="54"/>
      <c r="AG87" s="54"/>
      <c r="AH87" s="54"/>
      <c r="AI87" s="54"/>
      <c r="AJ87" s="54"/>
      <c r="AK87" s="54"/>
      <c r="AL87" s="54"/>
      <c r="AM87" s="54"/>
      <c r="AN87" s="54"/>
      <c r="AO87" s="54"/>
      <c r="AP87" s="54"/>
      <c r="AQ87" s="54"/>
      <c r="AR87" s="54"/>
      <c r="AS87" s="54"/>
      <c r="AT87" s="54"/>
      <c r="AU87" s="54"/>
      <c r="AV87" s="54"/>
      <c r="AW87" s="57">
        <f t="shared" si="95"/>
        <v>1</v>
      </c>
      <c r="AX87" s="24">
        <f t="shared" si="79"/>
        <v>6000000</v>
      </c>
      <c r="AY87" s="54">
        <f t="shared" si="80"/>
        <v>0</v>
      </c>
      <c r="AZ87" s="54">
        <f t="shared" si="80"/>
        <v>0</v>
      </c>
      <c r="BA87" s="24">
        <f t="shared" si="80"/>
        <v>0</v>
      </c>
      <c r="BB87" s="54">
        <f t="shared" si="99"/>
        <v>6000000</v>
      </c>
      <c r="BC87" s="54">
        <f t="shared" si="99"/>
        <v>0</v>
      </c>
      <c r="BD87" s="24">
        <f t="shared" si="99"/>
        <v>0</v>
      </c>
      <c r="BE87" s="54">
        <f t="shared" si="99"/>
        <v>0</v>
      </c>
      <c r="BF87" s="54">
        <f t="shared" si="99"/>
        <v>0</v>
      </c>
      <c r="BG87" s="24">
        <f t="shared" si="99"/>
        <v>0</v>
      </c>
      <c r="BH87" s="54">
        <f t="shared" si="99"/>
        <v>0</v>
      </c>
      <c r="BI87" s="54">
        <f t="shared" si="99"/>
        <v>0</v>
      </c>
      <c r="BJ87" s="54">
        <f t="shared" si="99"/>
        <v>0</v>
      </c>
      <c r="BK87" s="54">
        <f t="shared" si="99"/>
        <v>0</v>
      </c>
      <c r="BL87" s="54">
        <f t="shared" si="99"/>
        <v>0</v>
      </c>
      <c r="BM87" s="54">
        <f t="shared" si="99"/>
        <v>0</v>
      </c>
      <c r="BN87" s="54"/>
      <c r="BO87" s="54">
        <f>+X87-AT87</f>
        <v>0</v>
      </c>
      <c r="BP87" s="24">
        <f t="shared" si="82"/>
        <v>0</v>
      </c>
      <c r="BQ87" s="54">
        <f t="shared" si="100"/>
        <v>0</v>
      </c>
      <c r="BR87" s="57">
        <f t="shared" si="94"/>
        <v>0</v>
      </c>
      <c r="BS87" s="24">
        <f t="shared" si="84"/>
        <v>0</v>
      </c>
      <c r="BT87" s="54"/>
      <c r="BU87" s="54"/>
      <c r="BV87" s="54"/>
      <c r="BW87" s="54"/>
      <c r="BX87" s="54"/>
      <c r="BY87" s="54"/>
      <c r="BZ87" s="54"/>
      <c r="CA87" s="54"/>
      <c r="CB87" s="54"/>
      <c r="CC87" s="54"/>
      <c r="CD87" s="54"/>
      <c r="CE87" s="54"/>
      <c r="CF87" s="54"/>
      <c r="CG87" s="54"/>
      <c r="CH87" s="54"/>
      <c r="CI87" s="54"/>
      <c r="CJ87" s="54"/>
      <c r="CK87" s="54"/>
      <c r="CL87" s="54"/>
      <c r="CM87" s="54"/>
      <c r="CN87" s="57">
        <f t="shared" si="85"/>
        <v>1</v>
      </c>
      <c r="CO87" s="24">
        <f t="shared" si="86"/>
        <v>6000000</v>
      </c>
      <c r="CP87" s="24">
        <f t="shared" si="104"/>
        <v>0</v>
      </c>
      <c r="CQ87" s="54">
        <f t="shared" si="104"/>
        <v>0</v>
      </c>
      <c r="CR87" s="24">
        <f t="shared" si="104"/>
        <v>0</v>
      </c>
      <c r="CS87" s="54">
        <f t="shared" si="104"/>
        <v>6000000</v>
      </c>
      <c r="CT87" s="54">
        <f t="shared" si="104"/>
        <v>0</v>
      </c>
      <c r="CU87" s="24">
        <f t="shared" si="104"/>
        <v>0</v>
      </c>
      <c r="CV87" s="54">
        <f t="shared" si="107"/>
        <v>0</v>
      </c>
      <c r="CW87" s="54">
        <f t="shared" si="107"/>
        <v>0</v>
      </c>
      <c r="CX87" s="24">
        <f t="shared" si="107"/>
        <v>0</v>
      </c>
      <c r="CY87" s="54">
        <f t="shared" si="89"/>
        <v>0</v>
      </c>
      <c r="CZ87" s="54">
        <f t="shared" si="89"/>
        <v>0</v>
      </c>
      <c r="DA87" s="54">
        <f t="shared" si="89"/>
        <v>0</v>
      </c>
      <c r="DB87" s="54">
        <f>T87-CG87</f>
        <v>0</v>
      </c>
      <c r="DC87" s="54">
        <f>U87-CH87</f>
        <v>0</v>
      </c>
      <c r="DD87" s="54">
        <f>V87-CI87</f>
        <v>0</v>
      </c>
      <c r="DE87" s="54"/>
      <c r="DF87" s="54">
        <f>X87-CK87</f>
        <v>0</v>
      </c>
      <c r="DG87" s="54">
        <f>Y87-CL87</f>
        <v>0</v>
      </c>
      <c r="DH87" s="54">
        <f>Z87-CM87</f>
        <v>0</v>
      </c>
      <c r="DJ87" s="29">
        <f t="shared" si="54"/>
        <v>6000000</v>
      </c>
      <c r="DK87" s="29">
        <f t="shared" si="96"/>
        <v>6000000</v>
      </c>
      <c r="DL87" s="29">
        <f t="shared" si="97"/>
        <v>6000000</v>
      </c>
    </row>
    <row r="88" spans="1:117" ht="33" customHeight="1" x14ac:dyDescent="0.25">
      <c r="A88" s="229"/>
      <c r="B88" s="231" t="s">
        <v>250</v>
      </c>
      <c r="C88" s="20" t="s">
        <v>251</v>
      </c>
      <c r="D88" s="21" t="s">
        <v>252</v>
      </c>
      <c r="E88" s="22">
        <v>520</v>
      </c>
      <c r="F88" s="67" t="s">
        <v>91</v>
      </c>
      <c r="G88" s="24">
        <f t="shared" si="78"/>
        <v>33106800</v>
      </c>
      <c r="H88" s="33"/>
      <c r="I88" s="24"/>
      <c r="J88" s="24"/>
      <c r="K88" s="56">
        <v>33106800</v>
      </c>
      <c r="L88" s="33"/>
      <c r="M88" s="33"/>
      <c r="N88" s="33"/>
      <c r="O88" s="33"/>
      <c r="P88" s="33"/>
      <c r="Q88" s="28"/>
      <c r="R88" s="33"/>
      <c r="S88" s="45"/>
      <c r="T88" s="24"/>
      <c r="U88" s="24"/>
      <c r="V88" s="24"/>
      <c r="W88" s="24"/>
      <c r="X88" s="24"/>
      <c r="Y88" s="24"/>
      <c r="Z88" s="24"/>
      <c r="AA88" s="25">
        <f t="shared" si="93"/>
        <v>1</v>
      </c>
      <c r="AB88" s="24">
        <f t="shared" si="92"/>
        <v>33106800</v>
      </c>
      <c r="AC88" s="24"/>
      <c r="AD88" s="24"/>
      <c r="AE88" s="24"/>
      <c r="AF88" s="24"/>
      <c r="AG88" s="24">
        <f>+'[2]ENERO 2016'!$O$848</f>
        <v>33106800</v>
      </c>
      <c r="AH88" s="24"/>
      <c r="AI88" s="24"/>
      <c r="AJ88" s="24"/>
      <c r="AK88" s="24"/>
      <c r="AL88" s="24"/>
      <c r="AM88" s="24"/>
      <c r="AN88" s="24"/>
      <c r="AO88" s="24"/>
      <c r="AP88" s="24"/>
      <c r="AQ88" s="24"/>
      <c r="AR88" s="24"/>
      <c r="AS88" s="24"/>
      <c r="AT88" s="24"/>
      <c r="AU88" s="24"/>
      <c r="AV88" s="24"/>
      <c r="AW88" s="25">
        <f t="shared" si="95"/>
        <v>0</v>
      </c>
      <c r="AX88" s="24">
        <f t="shared" si="79"/>
        <v>0</v>
      </c>
      <c r="AY88" s="24">
        <f t="shared" si="80"/>
        <v>0</v>
      </c>
      <c r="AZ88" s="24">
        <f t="shared" si="80"/>
        <v>0</v>
      </c>
      <c r="BA88" s="24">
        <f t="shared" si="80"/>
        <v>0</v>
      </c>
      <c r="BB88" s="24">
        <f t="shared" si="99"/>
        <v>0</v>
      </c>
      <c r="BC88" s="24">
        <f t="shared" si="99"/>
        <v>0</v>
      </c>
      <c r="BD88" s="24">
        <f t="shared" si="99"/>
        <v>0</v>
      </c>
      <c r="BE88" s="54">
        <f t="shared" si="99"/>
        <v>0</v>
      </c>
      <c r="BF88" s="24">
        <f t="shared" si="99"/>
        <v>0</v>
      </c>
      <c r="BG88" s="24">
        <f t="shared" si="99"/>
        <v>0</v>
      </c>
      <c r="BH88" s="24">
        <f t="shared" si="99"/>
        <v>0</v>
      </c>
      <c r="BI88" s="24">
        <f t="shared" si="99"/>
        <v>0</v>
      </c>
      <c r="BJ88" s="24">
        <f t="shared" si="99"/>
        <v>0</v>
      </c>
      <c r="BK88" s="24">
        <f t="shared" si="99"/>
        <v>0</v>
      </c>
      <c r="BL88" s="24">
        <f t="shared" si="99"/>
        <v>0</v>
      </c>
      <c r="BM88" s="24">
        <f t="shared" si="99"/>
        <v>0</v>
      </c>
      <c r="BN88" s="24"/>
      <c r="BO88" s="24"/>
      <c r="BP88" s="24">
        <f t="shared" si="82"/>
        <v>0</v>
      </c>
      <c r="BQ88" s="24">
        <f t="shared" si="100"/>
        <v>0</v>
      </c>
      <c r="BR88" s="25">
        <f t="shared" si="94"/>
        <v>0.98600347964768564</v>
      </c>
      <c r="BS88" s="24">
        <f t="shared" si="84"/>
        <v>32643420</v>
      </c>
      <c r="BT88" s="24"/>
      <c r="BU88" s="24"/>
      <c r="BV88" s="24"/>
      <c r="BW88" s="24"/>
      <c r="BX88" s="24">
        <f>+'[1]SEPTIEMBRE 2016'!$H$3539</f>
        <v>32643420</v>
      </c>
      <c r="BY88" s="24"/>
      <c r="BZ88" s="24"/>
      <c r="CA88" s="24"/>
      <c r="CB88" s="24"/>
      <c r="CC88" s="24"/>
      <c r="CD88" s="24"/>
      <c r="CE88" s="24"/>
      <c r="CF88" s="24"/>
      <c r="CG88" s="24"/>
      <c r="CH88" s="24"/>
      <c r="CI88" s="24"/>
      <c r="CJ88" s="24"/>
      <c r="CK88" s="24"/>
      <c r="CL88" s="24"/>
      <c r="CM88" s="24"/>
      <c r="CN88" s="57">
        <f t="shared" si="85"/>
        <v>1.3996520352314357E-2</v>
      </c>
      <c r="CO88" s="24">
        <f t="shared" si="86"/>
        <v>463380</v>
      </c>
      <c r="CP88" s="24">
        <f t="shared" si="104"/>
        <v>0</v>
      </c>
      <c r="CQ88" s="54">
        <f t="shared" si="104"/>
        <v>0</v>
      </c>
      <c r="CR88" s="24">
        <f t="shared" si="104"/>
        <v>0</v>
      </c>
      <c r="CS88" s="24">
        <f t="shared" si="104"/>
        <v>463380</v>
      </c>
      <c r="CT88" s="54">
        <f t="shared" si="104"/>
        <v>0</v>
      </c>
      <c r="CU88" s="24">
        <f t="shared" si="104"/>
        <v>0</v>
      </c>
      <c r="CV88" s="54">
        <f t="shared" si="107"/>
        <v>0</v>
      </c>
      <c r="CW88" s="54">
        <f t="shared" si="107"/>
        <v>0</v>
      </c>
      <c r="CX88" s="24">
        <f t="shared" si="107"/>
        <v>0</v>
      </c>
      <c r="CY88" s="54">
        <f t="shared" si="89"/>
        <v>0</v>
      </c>
      <c r="CZ88" s="24">
        <f t="shared" si="89"/>
        <v>0</v>
      </c>
      <c r="DA88" s="24">
        <f t="shared" si="89"/>
        <v>0</v>
      </c>
      <c r="DB88" s="24">
        <f t="shared" ref="DB88:DD90" si="108">+T88-CG88</f>
        <v>0</v>
      </c>
      <c r="DC88" s="24">
        <f t="shared" si="108"/>
        <v>0</v>
      </c>
      <c r="DD88" s="24">
        <f t="shared" si="108"/>
        <v>0</v>
      </c>
      <c r="DE88" s="24"/>
      <c r="DF88" s="24">
        <f>+X88-CK88</f>
        <v>0</v>
      </c>
      <c r="DG88" s="54">
        <f>Y88-CL88</f>
        <v>0</v>
      </c>
      <c r="DH88" s="24">
        <f>+Z88-CM88</f>
        <v>0</v>
      </c>
      <c r="DJ88" s="29">
        <f t="shared" si="54"/>
        <v>33106800</v>
      </c>
      <c r="DK88" s="29">
        <f t="shared" si="96"/>
        <v>33106800</v>
      </c>
      <c r="DL88" s="29">
        <f t="shared" si="97"/>
        <v>33106800</v>
      </c>
      <c r="DM88" s="52">
        <f>+DK88-DL88</f>
        <v>0</v>
      </c>
    </row>
    <row r="89" spans="1:117" ht="19.5" customHeight="1" x14ac:dyDescent="0.25">
      <c r="A89" s="229"/>
      <c r="B89" s="232"/>
      <c r="C89" s="20" t="s">
        <v>253</v>
      </c>
      <c r="D89" s="21" t="s">
        <v>254</v>
      </c>
      <c r="E89" s="22">
        <v>520</v>
      </c>
      <c r="F89" s="67" t="s">
        <v>91</v>
      </c>
      <c r="G89" s="24">
        <f t="shared" si="78"/>
        <v>15184000</v>
      </c>
      <c r="H89" s="33"/>
      <c r="I89" s="24"/>
      <c r="J89" s="24"/>
      <c r="K89" s="56">
        <v>15184000</v>
      </c>
      <c r="L89" s="33"/>
      <c r="M89" s="33"/>
      <c r="N89" s="33"/>
      <c r="O89" s="33"/>
      <c r="P89" s="33"/>
      <c r="Q89" s="28"/>
      <c r="R89" s="33"/>
      <c r="S89" s="45"/>
      <c r="T89" s="24"/>
      <c r="U89" s="24"/>
      <c r="V89" s="24"/>
      <c r="W89" s="24"/>
      <c r="X89" s="24"/>
      <c r="Y89" s="24"/>
      <c r="Z89" s="24"/>
      <c r="AA89" s="25">
        <f t="shared" si="93"/>
        <v>1</v>
      </c>
      <c r="AB89" s="24">
        <f t="shared" si="92"/>
        <v>15184000</v>
      </c>
      <c r="AC89" s="24"/>
      <c r="AD89" s="24"/>
      <c r="AE89" s="24"/>
      <c r="AF89" s="24"/>
      <c r="AG89" s="24">
        <f>+'[2]ENERO 2016'!$O$854</f>
        <v>15184000</v>
      </c>
      <c r="AH89" s="24"/>
      <c r="AI89" s="24"/>
      <c r="AJ89" s="24"/>
      <c r="AK89" s="24"/>
      <c r="AL89" s="24"/>
      <c r="AM89" s="24"/>
      <c r="AN89" s="24"/>
      <c r="AO89" s="24"/>
      <c r="AP89" s="24"/>
      <c r="AQ89" s="24"/>
      <c r="AR89" s="24"/>
      <c r="AS89" s="24"/>
      <c r="AT89" s="24"/>
      <c r="AU89" s="24"/>
      <c r="AV89" s="24"/>
      <c r="AW89" s="25">
        <f t="shared" si="95"/>
        <v>0</v>
      </c>
      <c r="AX89" s="24">
        <f t="shared" si="79"/>
        <v>0</v>
      </c>
      <c r="AY89" s="24">
        <f t="shared" si="80"/>
        <v>0</v>
      </c>
      <c r="AZ89" s="24">
        <f t="shared" si="80"/>
        <v>0</v>
      </c>
      <c r="BA89" s="24">
        <f t="shared" si="80"/>
        <v>0</v>
      </c>
      <c r="BB89" s="24">
        <f t="shared" ref="BB89:BM92" si="109">+K89-AG89</f>
        <v>0</v>
      </c>
      <c r="BC89" s="24">
        <f t="shared" si="109"/>
        <v>0</v>
      </c>
      <c r="BD89" s="24">
        <f t="shared" si="109"/>
        <v>0</v>
      </c>
      <c r="BE89" s="54">
        <f t="shared" si="109"/>
        <v>0</v>
      </c>
      <c r="BF89" s="24">
        <f t="shared" si="109"/>
        <v>0</v>
      </c>
      <c r="BG89" s="24">
        <f t="shared" si="109"/>
        <v>0</v>
      </c>
      <c r="BH89" s="24">
        <f t="shared" si="109"/>
        <v>0</v>
      </c>
      <c r="BI89" s="24">
        <f t="shared" si="109"/>
        <v>0</v>
      </c>
      <c r="BJ89" s="24">
        <f t="shared" si="109"/>
        <v>0</v>
      </c>
      <c r="BK89" s="24">
        <f t="shared" si="109"/>
        <v>0</v>
      </c>
      <c r="BL89" s="24">
        <f t="shared" si="109"/>
        <v>0</v>
      </c>
      <c r="BM89" s="24">
        <f t="shared" si="109"/>
        <v>0</v>
      </c>
      <c r="BN89" s="24"/>
      <c r="BO89" s="24"/>
      <c r="BP89" s="24">
        <f t="shared" si="82"/>
        <v>0</v>
      </c>
      <c r="BQ89" s="24">
        <f t="shared" si="100"/>
        <v>0</v>
      </c>
      <c r="BR89" s="25">
        <f t="shared" si="94"/>
        <v>0.44197892518440463</v>
      </c>
      <c r="BS89" s="24">
        <f t="shared" si="84"/>
        <v>6711008</v>
      </c>
      <c r="BT89" s="24"/>
      <c r="BU89" s="24"/>
      <c r="BV89" s="24"/>
      <c r="BW89" s="24"/>
      <c r="BX89" s="24">
        <f>+'[1]SEPTIEMBRE 2016'!$H$3548</f>
        <v>6711008</v>
      </c>
      <c r="BY89" s="24"/>
      <c r="BZ89" s="24"/>
      <c r="CA89" s="24"/>
      <c r="CB89" s="24"/>
      <c r="CC89" s="24"/>
      <c r="CD89" s="24"/>
      <c r="CE89" s="24"/>
      <c r="CF89" s="24"/>
      <c r="CG89" s="24"/>
      <c r="CH89" s="24"/>
      <c r="CI89" s="24"/>
      <c r="CJ89" s="24"/>
      <c r="CK89" s="24"/>
      <c r="CL89" s="24"/>
      <c r="CM89" s="24"/>
      <c r="CN89" s="57">
        <f t="shared" si="85"/>
        <v>0.55802107481559537</v>
      </c>
      <c r="CO89" s="24">
        <f t="shared" si="86"/>
        <v>8472992</v>
      </c>
      <c r="CP89" s="24">
        <f t="shared" si="104"/>
        <v>0</v>
      </c>
      <c r="CQ89" s="54">
        <f t="shared" si="104"/>
        <v>0</v>
      </c>
      <c r="CR89" s="24">
        <f t="shared" si="104"/>
        <v>0</v>
      </c>
      <c r="CS89" s="24">
        <f t="shared" si="104"/>
        <v>8472992</v>
      </c>
      <c r="CT89" s="54">
        <f t="shared" si="104"/>
        <v>0</v>
      </c>
      <c r="CU89" s="24">
        <f t="shared" si="104"/>
        <v>0</v>
      </c>
      <c r="CV89" s="54">
        <f t="shared" si="107"/>
        <v>0</v>
      </c>
      <c r="CW89" s="54">
        <f t="shared" si="107"/>
        <v>0</v>
      </c>
      <c r="CX89" s="24">
        <f t="shared" si="107"/>
        <v>0</v>
      </c>
      <c r="CY89" s="54">
        <f t="shared" si="89"/>
        <v>0</v>
      </c>
      <c r="CZ89" s="24">
        <f t="shared" si="89"/>
        <v>0</v>
      </c>
      <c r="DA89" s="24">
        <f t="shared" si="89"/>
        <v>0</v>
      </c>
      <c r="DB89" s="24">
        <f t="shared" si="108"/>
        <v>0</v>
      </c>
      <c r="DC89" s="24">
        <f t="shared" si="108"/>
        <v>0</v>
      </c>
      <c r="DD89" s="24">
        <f t="shared" si="108"/>
        <v>0</v>
      </c>
      <c r="DE89" s="24"/>
      <c r="DF89" s="24">
        <f>+X89-CK89</f>
        <v>0</v>
      </c>
      <c r="DG89" s="54">
        <f>Y89-CL89</f>
        <v>0</v>
      </c>
      <c r="DH89" s="24">
        <f>+Z89-CM89</f>
        <v>0</v>
      </c>
      <c r="DJ89" s="29">
        <f t="shared" si="54"/>
        <v>15184000</v>
      </c>
      <c r="DK89" s="29">
        <f t="shared" si="96"/>
        <v>15184000</v>
      </c>
      <c r="DL89" s="29">
        <f t="shared" si="97"/>
        <v>15184000</v>
      </c>
    </row>
    <row r="90" spans="1:117" ht="33.75" customHeight="1" x14ac:dyDescent="0.25">
      <c r="A90" s="229"/>
      <c r="B90" s="232"/>
      <c r="C90" s="20" t="s">
        <v>255</v>
      </c>
      <c r="D90" s="21" t="s">
        <v>256</v>
      </c>
      <c r="E90" s="22">
        <v>520</v>
      </c>
      <c r="F90" s="67" t="s">
        <v>91</v>
      </c>
      <c r="G90" s="24">
        <f t="shared" si="78"/>
        <v>17000000</v>
      </c>
      <c r="H90" s="33"/>
      <c r="I90" s="33"/>
      <c r="J90" s="33"/>
      <c r="K90" s="56">
        <v>16000000</v>
      </c>
      <c r="L90" s="33"/>
      <c r="M90" s="33"/>
      <c r="N90" s="33"/>
      <c r="O90" s="33"/>
      <c r="P90" s="33"/>
      <c r="Q90" s="28"/>
      <c r="R90" s="33"/>
      <c r="S90" s="56"/>
      <c r="T90" s="24"/>
      <c r="U90" s="24"/>
      <c r="V90" s="24"/>
      <c r="W90" s="24"/>
      <c r="X90" s="24"/>
      <c r="Y90" s="24"/>
      <c r="Z90" s="24">
        <f>1000000</f>
        <v>1000000</v>
      </c>
      <c r="AA90" s="25">
        <f t="shared" si="93"/>
        <v>0.65294117647058825</v>
      </c>
      <c r="AB90" s="24">
        <f t="shared" si="92"/>
        <v>11100000</v>
      </c>
      <c r="AC90" s="24"/>
      <c r="AD90" s="24"/>
      <c r="AE90" s="24"/>
      <c r="AF90" s="24"/>
      <c r="AG90" s="24">
        <f>+'[4]AGOSTO 2016'!$O$3040</f>
        <v>11100000</v>
      </c>
      <c r="AH90" s="24"/>
      <c r="AI90" s="24"/>
      <c r="AJ90" s="24"/>
      <c r="AK90" s="24"/>
      <c r="AL90" s="24"/>
      <c r="AM90" s="24"/>
      <c r="AN90" s="24"/>
      <c r="AO90" s="24"/>
      <c r="AP90" s="24"/>
      <c r="AQ90" s="24"/>
      <c r="AR90" s="24"/>
      <c r="AS90" s="24"/>
      <c r="AT90" s="24"/>
      <c r="AU90" s="24"/>
      <c r="AV90" s="24"/>
      <c r="AW90" s="25">
        <f t="shared" si="95"/>
        <v>0.34705882352941175</v>
      </c>
      <c r="AX90" s="24">
        <f t="shared" si="79"/>
        <v>5900000</v>
      </c>
      <c r="AY90" s="24">
        <f t="shared" si="80"/>
        <v>0</v>
      </c>
      <c r="AZ90" s="24">
        <f t="shared" si="80"/>
        <v>0</v>
      </c>
      <c r="BA90" s="24">
        <f t="shared" si="80"/>
        <v>0</v>
      </c>
      <c r="BB90" s="24">
        <f t="shared" si="109"/>
        <v>4900000</v>
      </c>
      <c r="BC90" s="24">
        <f t="shared" si="109"/>
        <v>0</v>
      </c>
      <c r="BD90" s="24">
        <f t="shared" si="109"/>
        <v>0</v>
      </c>
      <c r="BE90" s="54">
        <f t="shared" si="109"/>
        <v>0</v>
      </c>
      <c r="BF90" s="24">
        <f t="shared" si="109"/>
        <v>0</v>
      </c>
      <c r="BG90" s="24">
        <f t="shared" si="109"/>
        <v>0</v>
      </c>
      <c r="BH90" s="24">
        <f t="shared" si="109"/>
        <v>0</v>
      </c>
      <c r="BI90" s="24">
        <f t="shared" si="109"/>
        <v>0</v>
      </c>
      <c r="BJ90" s="24">
        <f t="shared" si="109"/>
        <v>0</v>
      </c>
      <c r="BK90" s="24">
        <f t="shared" si="109"/>
        <v>0</v>
      </c>
      <c r="BL90" s="24">
        <f t="shared" si="109"/>
        <v>0</v>
      </c>
      <c r="BM90" s="24">
        <f t="shared" si="109"/>
        <v>0</v>
      </c>
      <c r="BN90" s="24"/>
      <c r="BO90" s="24"/>
      <c r="BP90" s="24">
        <f t="shared" si="82"/>
        <v>0</v>
      </c>
      <c r="BQ90" s="24">
        <f t="shared" si="100"/>
        <v>1000000</v>
      </c>
      <c r="BR90" s="25">
        <f t="shared" si="94"/>
        <v>0.65294117647058825</v>
      </c>
      <c r="BS90" s="24">
        <f t="shared" si="84"/>
        <v>11100000</v>
      </c>
      <c r="BT90" s="24"/>
      <c r="BU90" s="24"/>
      <c r="BV90" s="24"/>
      <c r="BW90" s="24"/>
      <c r="BX90" s="24">
        <f>+'[1]SEPTIEMBRE 2016'!$H$3558</f>
        <v>11100000</v>
      </c>
      <c r="BY90" s="24"/>
      <c r="BZ90" s="24"/>
      <c r="CA90" s="24"/>
      <c r="CB90" s="24"/>
      <c r="CC90" s="24"/>
      <c r="CD90" s="24"/>
      <c r="CE90" s="24"/>
      <c r="CF90" s="24"/>
      <c r="CG90" s="24"/>
      <c r="CH90" s="24"/>
      <c r="CI90" s="24"/>
      <c r="CJ90" s="24"/>
      <c r="CK90" s="24"/>
      <c r="CL90" s="24"/>
      <c r="CM90" s="24"/>
      <c r="CN90" s="57">
        <f t="shared" si="85"/>
        <v>0.34705882352941175</v>
      </c>
      <c r="CO90" s="24">
        <f t="shared" si="86"/>
        <v>5900000</v>
      </c>
      <c r="CP90" s="24">
        <f t="shared" si="104"/>
        <v>0</v>
      </c>
      <c r="CQ90" s="54">
        <f t="shared" si="104"/>
        <v>0</v>
      </c>
      <c r="CR90" s="24">
        <f t="shared" si="104"/>
        <v>0</v>
      </c>
      <c r="CS90" s="24">
        <f t="shared" si="104"/>
        <v>4900000</v>
      </c>
      <c r="CT90" s="54">
        <f t="shared" si="104"/>
        <v>0</v>
      </c>
      <c r="CU90" s="24">
        <f t="shared" si="104"/>
        <v>0</v>
      </c>
      <c r="CV90" s="54">
        <f t="shared" si="107"/>
        <v>0</v>
      </c>
      <c r="CW90" s="54">
        <f t="shared" si="107"/>
        <v>0</v>
      </c>
      <c r="CX90" s="24">
        <f t="shared" si="107"/>
        <v>0</v>
      </c>
      <c r="CY90" s="54">
        <f t="shared" si="89"/>
        <v>0</v>
      </c>
      <c r="CZ90" s="24">
        <f t="shared" si="89"/>
        <v>0</v>
      </c>
      <c r="DA90" s="24">
        <f t="shared" si="89"/>
        <v>0</v>
      </c>
      <c r="DB90" s="24">
        <f t="shared" si="108"/>
        <v>0</v>
      </c>
      <c r="DC90" s="24">
        <f t="shared" si="108"/>
        <v>0</v>
      </c>
      <c r="DD90" s="24">
        <f t="shared" si="108"/>
        <v>0</v>
      </c>
      <c r="DE90" s="24"/>
      <c r="DF90" s="24">
        <f>+X90-CK90</f>
        <v>0</v>
      </c>
      <c r="DG90" s="54">
        <f>Y90-CL90</f>
        <v>0</v>
      </c>
      <c r="DH90" s="24">
        <f>+Z90-CM90</f>
        <v>1000000</v>
      </c>
      <c r="DJ90" s="29">
        <f t="shared" ref="DJ90:DJ146" si="110">+G90</f>
        <v>17000000</v>
      </c>
      <c r="DK90" s="29">
        <f t="shared" si="96"/>
        <v>17000000</v>
      </c>
      <c r="DL90" s="29">
        <f t="shared" si="97"/>
        <v>17000000</v>
      </c>
    </row>
    <row r="91" spans="1:117" ht="21" customHeight="1" x14ac:dyDescent="0.25">
      <c r="A91" s="229"/>
      <c r="B91" s="232"/>
      <c r="C91" s="69" t="s">
        <v>257</v>
      </c>
      <c r="D91" s="21" t="s">
        <v>258</v>
      </c>
      <c r="E91" s="22">
        <v>520</v>
      </c>
      <c r="F91" s="67" t="s">
        <v>91</v>
      </c>
      <c r="G91" s="24">
        <f t="shared" si="78"/>
        <v>270709200</v>
      </c>
      <c r="H91" s="70"/>
      <c r="I91" s="70"/>
      <c r="J91" s="70"/>
      <c r="K91" s="56">
        <v>35709200</v>
      </c>
      <c r="L91" s="70"/>
      <c r="M91" s="70"/>
      <c r="N91" s="70"/>
      <c r="O91" s="70"/>
      <c r="P91" s="70"/>
      <c r="Q91" s="71"/>
      <c r="R91" s="70"/>
      <c r="S91" s="56">
        <f>265000000-30000000</f>
        <v>235000000</v>
      </c>
      <c r="T91" s="72"/>
      <c r="U91" s="72"/>
      <c r="V91" s="72"/>
      <c r="W91" s="72"/>
      <c r="X91" s="72"/>
      <c r="Y91" s="72"/>
      <c r="Z91" s="72"/>
      <c r="AA91" s="25">
        <f t="shared" si="93"/>
        <v>1</v>
      </c>
      <c r="AB91" s="24">
        <f t="shared" si="92"/>
        <v>270709200</v>
      </c>
      <c r="AC91" s="72"/>
      <c r="AD91" s="72"/>
      <c r="AE91" s="72"/>
      <c r="AF91" s="72"/>
      <c r="AG91" s="72">
        <f>+'[2]ENERO 2016'!$O$864</f>
        <v>35709200</v>
      </c>
      <c r="AH91" s="72"/>
      <c r="AI91" s="72"/>
      <c r="AJ91" s="72"/>
      <c r="AK91" s="72"/>
      <c r="AL91" s="72"/>
      <c r="AM91" s="72"/>
      <c r="AN91" s="72"/>
      <c r="AO91" s="72">
        <f>+'[4]AGOSTO 2016'!$W$3047</f>
        <v>235000000</v>
      </c>
      <c r="AP91" s="72"/>
      <c r="AQ91" s="72"/>
      <c r="AR91" s="72"/>
      <c r="AS91" s="72"/>
      <c r="AT91" s="72"/>
      <c r="AU91" s="72"/>
      <c r="AV91" s="72"/>
      <c r="AW91" s="25">
        <f t="shared" si="95"/>
        <v>0</v>
      </c>
      <c r="AX91" s="24">
        <f t="shared" si="79"/>
        <v>0</v>
      </c>
      <c r="AY91" s="24">
        <f t="shared" si="80"/>
        <v>0</v>
      </c>
      <c r="AZ91" s="24">
        <f t="shared" si="80"/>
        <v>0</v>
      </c>
      <c r="BA91" s="24">
        <f t="shared" si="80"/>
        <v>0</v>
      </c>
      <c r="BB91" s="24">
        <f t="shared" si="109"/>
        <v>0</v>
      </c>
      <c r="BC91" s="24">
        <f t="shared" si="109"/>
        <v>0</v>
      </c>
      <c r="BD91" s="24">
        <f t="shared" si="109"/>
        <v>0</v>
      </c>
      <c r="BE91" s="54">
        <f t="shared" si="109"/>
        <v>0</v>
      </c>
      <c r="BF91" s="24">
        <f t="shared" si="109"/>
        <v>0</v>
      </c>
      <c r="BG91" s="24">
        <f t="shared" si="109"/>
        <v>0</v>
      </c>
      <c r="BH91" s="24">
        <f t="shared" si="109"/>
        <v>0</v>
      </c>
      <c r="BI91" s="24">
        <f t="shared" si="109"/>
        <v>0</v>
      </c>
      <c r="BJ91" s="24">
        <f t="shared" si="109"/>
        <v>0</v>
      </c>
      <c r="BK91" s="24">
        <f t="shared" si="109"/>
        <v>0</v>
      </c>
      <c r="BL91" s="24">
        <f t="shared" si="109"/>
        <v>0</v>
      </c>
      <c r="BM91" s="24">
        <f t="shared" si="109"/>
        <v>0</v>
      </c>
      <c r="BN91" s="24"/>
      <c r="BO91" s="24">
        <f>+X91-AT91</f>
        <v>0</v>
      </c>
      <c r="BP91" s="24">
        <f t="shared" si="82"/>
        <v>0</v>
      </c>
      <c r="BQ91" s="24">
        <f t="shared" si="100"/>
        <v>0</v>
      </c>
      <c r="BR91" s="25">
        <f t="shared" si="94"/>
        <v>0.99241533719578057</v>
      </c>
      <c r="BS91" s="24">
        <f t="shared" si="84"/>
        <v>268655962</v>
      </c>
      <c r="BT91" s="72"/>
      <c r="BU91" s="72"/>
      <c r="BV91" s="72"/>
      <c r="BW91" s="72"/>
      <c r="BX91" s="72">
        <f>+'[1]SEPTIEMBRE 2016'!$H$3568+'[1]SEPTIEMBRE 2016'!$H$3618</f>
        <v>33656412</v>
      </c>
      <c r="BY91" s="72"/>
      <c r="BZ91" s="72"/>
      <c r="CA91" s="72"/>
      <c r="CB91" s="72"/>
      <c r="CC91" s="72"/>
      <c r="CD91" s="72"/>
      <c r="CE91" s="72"/>
      <c r="CF91" s="72">
        <f>+'[1]SEPTIEMBRE 2016'!$H$3565-BX91</f>
        <v>234999550</v>
      </c>
      <c r="CG91" s="72"/>
      <c r="CH91" s="72"/>
      <c r="CI91" s="72"/>
      <c r="CJ91" s="72"/>
      <c r="CK91" s="72"/>
      <c r="CL91" s="72"/>
      <c r="CM91" s="72"/>
      <c r="CN91" s="57">
        <f t="shared" si="85"/>
        <v>7.5846628042194331E-3</v>
      </c>
      <c r="CO91" s="24">
        <f t="shared" si="86"/>
        <v>2053238</v>
      </c>
      <c r="CP91" s="24">
        <f t="shared" si="104"/>
        <v>0</v>
      </c>
      <c r="CQ91" s="54">
        <f t="shared" si="104"/>
        <v>0</v>
      </c>
      <c r="CR91" s="24">
        <f t="shared" si="104"/>
        <v>0</v>
      </c>
      <c r="CS91" s="24">
        <f t="shared" si="104"/>
        <v>2052788</v>
      </c>
      <c r="CT91" s="54">
        <f t="shared" si="104"/>
        <v>0</v>
      </c>
      <c r="CU91" s="24">
        <f t="shared" si="104"/>
        <v>0</v>
      </c>
      <c r="CV91" s="54">
        <f t="shared" si="107"/>
        <v>0</v>
      </c>
      <c r="CW91" s="54">
        <f t="shared" si="107"/>
        <v>0</v>
      </c>
      <c r="CX91" s="24">
        <f t="shared" si="107"/>
        <v>0</v>
      </c>
      <c r="CY91" s="54">
        <f t="shared" si="89"/>
        <v>0</v>
      </c>
      <c r="CZ91" s="54">
        <f t="shared" si="89"/>
        <v>0</v>
      </c>
      <c r="DA91" s="54">
        <f t="shared" si="89"/>
        <v>450</v>
      </c>
      <c r="DB91" s="54">
        <f>T91-CG91</f>
        <v>0</v>
      </c>
      <c r="DC91" s="54">
        <f>U91-CH91</f>
        <v>0</v>
      </c>
      <c r="DD91" s="54">
        <f>V91-CI91</f>
        <v>0</v>
      </c>
      <c r="DE91" s="54"/>
      <c r="DF91" s="54">
        <f>X91-CK91</f>
        <v>0</v>
      </c>
      <c r="DG91" s="54">
        <f>Y91-CL91</f>
        <v>0</v>
      </c>
      <c r="DH91" s="54">
        <f>Z91-CM91</f>
        <v>0</v>
      </c>
      <c r="DJ91" s="29">
        <f t="shared" si="110"/>
        <v>270709200</v>
      </c>
      <c r="DK91" s="29">
        <f t="shared" si="96"/>
        <v>270709200</v>
      </c>
      <c r="DL91" s="29">
        <f t="shared" si="97"/>
        <v>270709200</v>
      </c>
    </row>
    <row r="92" spans="1:117" ht="69.75" customHeight="1" x14ac:dyDescent="0.25">
      <c r="A92" s="230"/>
      <c r="B92" s="233"/>
      <c r="C92" s="20" t="s">
        <v>259</v>
      </c>
      <c r="D92" s="21" t="s">
        <v>260</v>
      </c>
      <c r="E92" s="22">
        <v>520</v>
      </c>
      <c r="F92" s="23" t="s">
        <v>261</v>
      </c>
      <c r="G92" s="24">
        <f t="shared" si="78"/>
        <v>55451472</v>
      </c>
      <c r="H92" s="70"/>
      <c r="I92" s="70"/>
      <c r="J92" s="70"/>
      <c r="K92" s="70"/>
      <c r="L92" s="70"/>
      <c r="M92" s="70"/>
      <c r="N92" s="70"/>
      <c r="O92" s="70"/>
      <c r="P92" s="70"/>
      <c r="Q92" s="71"/>
      <c r="R92" s="70"/>
      <c r="S92" s="56"/>
      <c r="T92" s="72"/>
      <c r="U92" s="72"/>
      <c r="V92" s="72"/>
      <c r="W92" s="72"/>
      <c r="X92" s="72"/>
      <c r="Y92" s="72"/>
      <c r="Z92" s="72">
        <f>26599846+5000000+955598+1000000+3500000+3000000+10000000+5396028</f>
        <v>55451472</v>
      </c>
      <c r="AA92" s="25">
        <f t="shared" si="93"/>
        <v>0.72168206824157888</v>
      </c>
      <c r="AB92" s="24">
        <f t="shared" si="92"/>
        <v>40018333</v>
      </c>
      <c r="AC92" s="72"/>
      <c r="AD92" s="72"/>
      <c r="AE92" s="72"/>
      <c r="AF92" s="72"/>
      <c r="AG92" s="72"/>
      <c r="AH92" s="72"/>
      <c r="AI92" s="72"/>
      <c r="AJ92" s="72"/>
      <c r="AK92" s="72"/>
      <c r="AL92" s="72"/>
      <c r="AM92" s="72"/>
      <c r="AN92" s="72"/>
      <c r="AO92" s="72"/>
      <c r="AP92" s="72"/>
      <c r="AQ92" s="72"/>
      <c r="AR92" s="72"/>
      <c r="AS92" s="72"/>
      <c r="AT92" s="72"/>
      <c r="AU92" s="72"/>
      <c r="AV92" s="72">
        <f>+'[1]SEPTIEMBRE 2016'!$AG$3625</f>
        <v>40018333</v>
      </c>
      <c r="AW92" s="25">
        <f t="shared" si="95"/>
        <v>0.27831793175842112</v>
      </c>
      <c r="AX92" s="24">
        <f t="shared" si="79"/>
        <v>15433139</v>
      </c>
      <c r="AY92" s="24">
        <f t="shared" si="80"/>
        <v>0</v>
      </c>
      <c r="AZ92" s="24">
        <f t="shared" si="80"/>
        <v>0</v>
      </c>
      <c r="BA92" s="24">
        <f t="shared" si="80"/>
        <v>0</v>
      </c>
      <c r="BB92" s="24">
        <f t="shared" si="109"/>
        <v>0</v>
      </c>
      <c r="BC92" s="24">
        <f t="shared" si="109"/>
        <v>0</v>
      </c>
      <c r="BD92" s="24">
        <f t="shared" si="109"/>
        <v>0</v>
      </c>
      <c r="BE92" s="54">
        <f t="shared" si="109"/>
        <v>0</v>
      </c>
      <c r="BF92" s="24">
        <f t="shared" si="109"/>
        <v>0</v>
      </c>
      <c r="BG92" s="24">
        <f t="shared" si="109"/>
        <v>0</v>
      </c>
      <c r="BH92" s="24">
        <f t="shared" si="109"/>
        <v>0</v>
      </c>
      <c r="BI92" s="24">
        <f t="shared" si="109"/>
        <v>0</v>
      </c>
      <c r="BJ92" s="24">
        <f t="shared" si="109"/>
        <v>0</v>
      </c>
      <c r="BK92" s="24">
        <f t="shared" si="109"/>
        <v>0</v>
      </c>
      <c r="BL92" s="24">
        <f t="shared" si="109"/>
        <v>0</v>
      </c>
      <c r="BM92" s="24">
        <f t="shared" si="109"/>
        <v>0</v>
      </c>
      <c r="BN92" s="24"/>
      <c r="BO92" s="24">
        <f>+X92-AT92</f>
        <v>0</v>
      </c>
      <c r="BP92" s="24">
        <f t="shared" si="82"/>
        <v>0</v>
      </c>
      <c r="BQ92" s="24">
        <f t="shared" si="100"/>
        <v>15433139</v>
      </c>
      <c r="BR92" s="25">
        <f t="shared" si="94"/>
        <v>0.72168206824157888</v>
      </c>
      <c r="BS92" s="24">
        <f t="shared" si="84"/>
        <v>40018333</v>
      </c>
      <c r="BT92" s="72"/>
      <c r="BU92" s="72"/>
      <c r="BV92" s="72"/>
      <c r="BW92" s="72"/>
      <c r="BX92" s="72"/>
      <c r="BY92" s="72"/>
      <c r="BZ92" s="72"/>
      <c r="CA92" s="72"/>
      <c r="CB92" s="72"/>
      <c r="CC92" s="72"/>
      <c r="CD92" s="72"/>
      <c r="CE92" s="72"/>
      <c r="CF92" s="72"/>
      <c r="CG92" s="72"/>
      <c r="CH92" s="72"/>
      <c r="CI92" s="72"/>
      <c r="CJ92" s="72"/>
      <c r="CK92" s="72"/>
      <c r="CL92" s="72"/>
      <c r="CM92" s="72">
        <f>+'[1]SEPTIEMBRE 2016'!$AG$3625</f>
        <v>40018333</v>
      </c>
      <c r="CN92" s="57">
        <f t="shared" si="85"/>
        <v>0.27831793175842112</v>
      </c>
      <c r="CO92" s="24">
        <f t="shared" si="86"/>
        <v>15433139</v>
      </c>
      <c r="CP92" s="24">
        <f t="shared" si="104"/>
        <v>0</v>
      </c>
      <c r="CQ92" s="54">
        <f t="shared" si="104"/>
        <v>0</v>
      </c>
      <c r="CR92" s="24">
        <f t="shared" si="104"/>
        <v>0</v>
      </c>
      <c r="CS92" s="24">
        <f t="shared" si="104"/>
        <v>0</v>
      </c>
      <c r="CT92" s="54">
        <f t="shared" si="104"/>
        <v>0</v>
      </c>
      <c r="CU92" s="24">
        <f t="shared" si="104"/>
        <v>0</v>
      </c>
      <c r="CV92" s="54">
        <f t="shared" si="107"/>
        <v>0</v>
      </c>
      <c r="CW92" s="54">
        <f t="shared" si="107"/>
        <v>0</v>
      </c>
      <c r="CX92" s="24">
        <f t="shared" si="107"/>
        <v>0</v>
      </c>
      <c r="CY92" s="24">
        <f t="shared" si="107"/>
        <v>0</v>
      </c>
      <c r="CZ92" s="24">
        <f t="shared" si="107"/>
        <v>0</v>
      </c>
      <c r="DA92" s="24">
        <f t="shared" si="107"/>
        <v>0</v>
      </c>
      <c r="DB92" s="24">
        <f t="shared" si="107"/>
        <v>0</v>
      </c>
      <c r="DC92" s="24">
        <f t="shared" si="107"/>
        <v>0</v>
      </c>
      <c r="DD92" s="24">
        <f t="shared" si="107"/>
        <v>0</v>
      </c>
      <c r="DE92" s="24"/>
      <c r="DF92" s="24">
        <f>+X92-CK92</f>
        <v>0</v>
      </c>
      <c r="DG92" s="24">
        <f>+Y92-CL92</f>
        <v>0</v>
      </c>
      <c r="DH92" s="24">
        <f>+Z92-CM92</f>
        <v>15433139</v>
      </c>
      <c r="DJ92" s="29">
        <f t="shared" si="110"/>
        <v>55451472</v>
      </c>
      <c r="DK92" s="29">
        <f t="shared" si="96"/>
        <v>55451472</v>
      </c>
      <c r="DL92" s="29">
        <f t="shared" si="97"/>
        <v>55451472</v>
      </c>
    </row>
    <row r="93" spans="1:117" s="43" customFormat="1" ht="20.25" customHeight="1" thickBot="1" x14ac:dyDescent="0.3">
      <c r="A93" s="73"/>
      <c r="B93" s="245" t="s">
        <v>262</v>
      </c>
      <c r="C93" s="246"/>
      <c r="D93" s="246"/>
      <c r="E93" s="246"/>
      <c r="F93" s="247"/>
      <c r="G93" s="61">
        <f>SUM(G61:G92)</f>
        <v>1760134547</v>
      </c>
      <c r="H93" s="61">
        <f>SUM(H61:H92)</f>
        <v>0</v>
      </c>
      <c r="I93" s="61">
        <f>SUM(I61:I92)</f>
        <v>0</v>
      </c>
      <c r="J93" s="61">
        <f>SUM(J61:J90)</f>
        <v>0</v>
      </c>
      <c r="K93" s="61">
        <f>SUM(K61:K92)</f>
        <v>520000000</v>
      </c>
      <c r="L93" s="61">
        <f>SUM(L61:L92)</f>
        <v>50000000</v>
      </c>
      <c r="M93" s="61">
        <f t="shared" ref="M93:Z93" si="111">SUM(M61:M92)</f>
        <v>0</v>
      </c>
      <c r="N93" s="61">
        <f t="shared" si="111"/>
        <v>0</v>
      </c>
      <c r="O93" s="61">
        <f t="shared" si="111"/>
        <v>0</v>
      </c>
      <c r="P93" s="61">
        <f t="shared" si="111"/>
        <v>0</v>
      </c>
      <c r="Q93" s="61">
        <f t="shared" si="111"/>
        <v>0</v>
      </c>
      <c r="R93" s="61">
        <f t="shared" si="111"/>
        <v>244000000</v>
      </c>
      <c r="S93" s="61">
        <f t="shared" si="111"/>
        <v>333901442</v>
      </c>
      <c r="T93" s="61">
        <f t="shared" si="111"/>
        <v>0</v>
      </c>
      <c r="U93" s="61">
        <f t="shared" si="111"/>
        <v>0</v>
      </c>
      <c r="V93" s="61">
        <f t="shared" si="111"/>
        <v>0</v>
      </c>
      <c r="W93" s="61">
        <f t="shared" si="111"/>
        <v>0</v>
      </c>
      <c r="X93" s="61">
        <f t="shared" si="111"/>
        <v>0</v>
      </c>
      <c r="Y93" s="61">
        <f t="shared" si="111"/>
        <v>0</v>
      </c>
      <c r="Z93" s="61">
        <f t="shared" si="111"/>
        <v>612233105</v>
      </c>
      <c r="AA93" s="39">
        <f t="shared" si="93"/>
        <v>0.83588880890251627</v>
      </c>
      <c r="AB93" s="61">
        <f>SUM(AB61:AB92)</f>
        <v>1471276770</v>
      </c>
      <c r="AC93" s="61"/>
      <c r="AD93" s="61">
        <f t="shared" ref="AD93:AV93" si="112">SUM(AD61:AD92)</f>
        <v>0</v>
      </c>
      <c r="AE93" s="61">
        <f t="shared" si="112"/>
        <v>0</v>
      </c>
      <c r="AF93" s="61">
        <f t="shared" si="112"/>
        <v>0</v>
      </c>
      <c r="AG93" s="61">
        <f t="shared" si="112"/>
        <v>396302174</v>
      </c>
      <c r="AH93" s="61">
        <f t="shared" si="112"/>
        <v>49797725</v>
      </c>
      <c r="AI93" s="61">
        <f t="shared" si="112"/>
        <v>0</v>
      </c>
      <c r="AJ93" s="61">
        <f t="shared" si="112"/>
        <v>0</v>
      </c>
      <c r="AK93" s="61">
        <f t="shared" si="112"/>
        <v>0</v>
      </c>
      <c r="AL93" s="61">
        <f t="shared" si="112"/>
        <v>0</v>
      </c>
      <c r="AM93" s="61">
        <f t="shared" si="112"/>
        <v>0</v>
      </c>
      <c r="AN93" s="61">
        <f t="shared" si="112"/>
        <v>187101991</v>
      </c>
      <c r="AO93" s="61">
        <f t="shared" si="112"/>
        <v>292539894</v>
      </c>
      <c r="AP93" s="61">
        <f t="shared" si="112"/>
        <v>0</v>
      </c>
      <c r="AQ93" s="61">
        <f t="shared" si="112"/>
        <v>0</v>
      </c>
      <c r="AR93" s="61">
        <f t="shared" si="112"/>
        <v>0</v>
      </c>
      <c r="AS93" s="61">
        <f t="shared" si="112"/>
        <v>0</v>
      </c>
      <c r="AT93" s="61">
        <f t="shared" si="112"/>
        <v>0</v>
      </c>
      <c r="AU93" s="61">
        <f t="shared" si="112"/>
        <v>0</v>
      </c>
      <c r="AV93" s="61">
        <f t="shared" si="112"/>
        <v>545534986</v>
      </c>
      <c r="AW93" s="39">
        <f t="shared" si="95"/>
        <v>0.16411119109748373</v>
      </c>
      <c r="AX93" s="61">
        <f>SUM(AX61:AX92)</f>
        <v>288857777</v>
      </c>
      <c r="AY93" s="61">
        <f t="shared" ref="AY93:BQ93" si="113">SUM(AY61:AY92)</f>
        <v>0</v>
      </c>
      <c r="AZ93" s="61">
        <f t="shared" si="113"/>
        <v>0</v>
      </c>
      <c r="BA93" s="61">
        <f t="shared" si="113"/>
        <v>0</v>
      </c>
      <c r="BB93" s="61">
        <f t="shared" si="113"/>
        <v>123697826</v>
      </c>
      <c r="BC93" s="61">
        <f t="shared" si="113"/>
        <v>202275</v>
      </c>
      <c r="BD93" s="61">
        <f t="shared" si="113"/>
        <v>0</v>
      </c>
      <c r="BE93" s="61">
        <f t="shared" si="113"/>
        <v>0</v>
      </c>
      <c r="BF93" s="61">
        <f t="shared" si="113"/>
        <v>0</v>
      </c>
      <c r="BG93" s="61">
        <f t="shared" si="113"/>
        <v>0</v>
      </c>
      <c r="BH93" s="61">
        <f t="shared" si="113"/>
        <v>0</v>
      </c>
      <c r="BI93" s="61">
        <f t="shared" si="113"/>
        <v>56898009</v>
      </c>
      <c r="BJ93" s="61">
        <f t="shared" si="113"/>
        <v>41361548</v>
      </c>
      <c r="BK93" s="61">
        <f t="shared" si="113"/>
        <v>0</v>
      </c>
      <c r="BL93" s="61">
        <f t="shared" si="113"/>
        <v>0</v>
      </c>
      <c r="BM93" s="61">
        <f t="shared" si="113"/>
        <v>0</v>
      </c>
      <c r="BN93" s="61">
        <f t="shared" si="113"/>
        <v>0</v>
      </c>
      <c r="BO93" s="61">
        <f t="shared" si="113"/>
        <v>0</v>
      </c>
      <c r="BP93" s="61">
        <f t="shared" si="113"/>
        <v>0</v>
      </c>
      <c r="BQ93" s="61">
        <f t="shared" si="113"/>
        <v>66698119</v>
      </c>
      <c r="BR93" s="39">
        <f t="shared" si="94"/>
        <v>0.80967760358379015</v>
      </c>
      <c r="BS93" s="61">
        <f t="shared" ref="BS93:CI93" si="114">SUM(BS61:BS92)</f>
        <v>1425141522</v>
      </c>
      <c r="BT93" s="61">
        <f t="shared" si="114"/>
        <v>0</v>
      </c>
      <c r="BU93" s="61">
        <f t="shared" si="114"/>
        <v>0</v>
      </c>
      <c r="BV93" s="61">
        <f t="shared" si="114"/>
        <v>0</v>
      </c>
      <c r="BW93" s="61">
        <f t="shared" si="114"/>
        <v>0</v>
      </c>
      <c r="BX93" s="61">
        <f t="shared" si="114"/>
        <v>363309545</v>
      </c>
      <c r="BY93" s="61">
        <f t="shared" si="114"/>
        <v>49797725</v>
      </c>
      <c r="BZ93" s="61">
        <f t="shared" si="114"/>
        <v>0</v>
      </c>
      <c r="CA93" s="61">
        <f t="shared" si="114"/>
        <v>0</v>
      </c>
      <c r="CB93" s="61">
        <f t="shared" si="114"/>
        <v>0</v>
      </c>
      <c r="CC93" s="61">
        <f t="shared" si="114"/>
        <v>0</v>
      </c>
      <c r="CD93" s="61">
        <f t="shared" si="114"/>
        <v>0</v>
      </c>
      <c r="CE93" s="61">
        <f t="shared" si="114"/>
        <v>185375614</v>
      </c>
      <c r="CF93" s="61">
        <f t="shared" si="114"/>
        <v>289592456</v>
      </c>
      <c r="CG93" s="61">
        <f t="shared" si="114"/>
        <v>0</v>
      </c>
      <c r="CH93" s="61">
        <f t="shared" si="114"/>
        <v>0</v>
      </c>
      <c r="CI93" s="61">
        <f t="shared" si="114"/>
        <v>0</v>
      </c>
      <c r="CJ93" s="61"/>
      <c r="CK93" s="61">
        <f>SUM(CK61:CK92)</f>
        <v>0</v>
      </c>
      <c r="CL93" s="61">
        <f>SUM(CL61:CL92)</f>
        <v>0</v>
      </c>
      <c r="CM93" s="61">
        <f>SUM(CM61:CM92)</f>
        <v>537066182</v>
      </c>
      <c r="CN93" s="39">
        <f t="shared" si="85"/>
        <v>0.19032239641620985</v>
      </c>
      <c r="CO93" s="61">
        <f t="shared" ref="CO93:DH93" si="115">SUM(CO61:CO92)</f>
        <v>334993025</v>
      </c>
      <c r="CP93" s="61">
        <f t="shared" si="115"/>
        <v>0</v>
      </c>
      <c r="CQ93" s="61">
        <f t="shared" si="115"/>
        <v>0</v>
      </c>
      <c r="CR93" s="61">
        <f t="shared" si="115"/>
        <v>0</v>
      </c>
      <c r="CS93" s="61">
        <f t="shared" si="115"/>
        <v>156690455</v>
      </c>
      <c r="CT93" s="61">
        <f t="shared" si="115"/>
        <v>202275</v>
      </c>
      <c r="CU93" s="61">
        <f t="shared" si="115"/>
        <v>0</v>
      </c>
      <c r="CV93" s="61">
        <f t="shared" si="115"/>
        <v>0</v>
      </c>
      <c r="CW93" s="61">
        <f t="shared" si="115"/>
        <v>0</v>
      </c>
      <c r="CX93" s="61">
        <f t="shared" si="115"/>
        <v>0</v>
      </c>
      <c r="CY93" s="61">
        <f t="shared" si="115"/>
        <v>0</v>
      </c>
      <c r="CZ93" s="61">
        <f t="shared" si="115"/>
        <v>58624386</v>
      </c>
      <c r="DA93" s="61">
        <f t="shared" si="115"/>
        <v>44308986</v>
      </c>
      <c r="DB93" s="61">
        <f t="shared" si="115"/>
        <v>0</v>
      </c>
      <c r="DC93" s="61">
        <f t="shared" si="115"/>
        <v>0</v>
      </c>
      <c r="DD93" s="61">
        <f t="shared" si="115"/>
        <v>0</v>
      </c>
      <c r="DE93" s="61">
        <f t="shared" si="115"/>
        <v>0</v>
      </c>
      <c r="DF93" s="61">
        <f t="shared" si="115"/>
        <v>0</v>
      </c>
      <c r="DG93" s="61">
        <f t="shared" si="115"/>
        <v>0</v>
      </c>
      <c r="DH93" s="61">
        <f t="shared" si="115"/>
        <v>75166923</v>
      </c>
      <c r="DJ93" s="29">
        <f t="shared" si="110"/>
        <v>1760134547</v>
      </c>
      <c r="DK93" s="29">
        <f t="shared" si="96"/>
        <v>1760134547</v>
      </c>
      <c r="DL93" s="29">
        <f t="shared" si="97"/>
        <v>1760134547</v>
      </c>
    </row>
    <row r="94" spans="1:117" ht="6" customHeight="1" thickTop="1" x14ac:dyDescent="0.25">
      <c r="B94" s="74"/>
      <c r="C94" s="75"/>
      <c r="D94" s="76"/>
      <c r="E94" s="77"/>
      <c r="F94" s="78"/>
      <c r="G94" s="79"/>
      <c r="H94" s="79"/>
      <c r="I94" s="79"/>
      <c r="J94" s="79"/>
      <c r="K94" s="80"/>
      <c r="M94" s="80"/>
      <c r="N94" s="80"/>
      <c r="O94" s="80"/>
      <c r="P94" s="80"/>
      <c r="Q94" s="80"/>
      <c r="R94" s="80"/>
      <c r="S94" s="80"/>
      <c r="T94" s="80"/>
      <c r="U94" s="80"/>
      <c r="V94" s="80"/>
      <c r="W94" s="80"/>
      <c r="X94" s="80"/>
      <c r="Y94" s="80"/>
      <c r="Z94" s="80"/>
      <c r="AA94" s="81"/>
      <c r="AB94" s="82"/>
      <c r="AC94" s="82"/>
      <c r="AD94" s="82"/>
      <c r="AE94" s="82"/>
      <c r="AF94" s="82"/>
      <c r="AG94" s="83"/>
      <c r="AH94" s="83"/>
      <c r="AI94" s="83"/>
      <c r="AJ94" s="83"/>
      <c r="AK94" s="83"/>
      <c r="AL94" s="83"/>
      <c r="AM94" s="83"/>
      <c r="AN94" s="83"/>
      <c r="AO94" s="83"/>
      <c r="AP94" s="83"/>
      <c r="AQ94" s="83"/>
      <c r="AR94" s="83"/>
      <c r="AS94" s="83"/>
      <c r="AT94" s="83"/>
      <c r="AU94" s="83"/>
      <c r="AV94" s="83"/>
      <c r="AW94" s="84"/>
      <c r="AX94" s="82"/>
      <c r="AY94" s="82"/>
      <c r="AZ94" s="82"/>
      <c r="BA94" s="82"/>
      <c r="BB94" s="85"/>
      <c r="BC94" s="85"/>
      <c r="BD94" s="85"/>
      <c r="BE94" s="85"/>
      <c r="BF94" s="85"/>
      <c r="BG94" s="85"/>
      <c r="BH94" s="85"/>
      <c r="BI94" s="85"/>
      <c r="BJ94" s="85"/>
      <c r="BK94" s="85"/>
      <c r="BL94" s="85"/>
      <c r="BM94" s="85"/>
      <c r="BN94" s="85"/>
      <c r="BO94" s="85"/>
      <c r="BP94" s="85"/>
      <c r="BQ94" s="85"/>
      <c r="BR94" s="84"/>
      <c r="BS94" s="82"/>
      <c r="BT94" s="82"/>
      <c r="BU94" s="82"/>
      <c r="BV94" s="82"/>
      <c r="BW94" s="82"/>
      <c r="BX94" s="83"/>
      <c r="BY94" s="83"/>
      <c r="BZ94" s="83"/>
      <c r="CA94" s="83"/>
      <c r="CB94" s="83"/>
      <c r="CC94" s="83"/>
      <c r="CD94" s="83"/>
      <c r="CE94" s="83"/>
      <c r="CF94" s="83"/>
      <c r="CG94" s="83"/>
      <c r="CH94" s="83"/>
      <c r="CI94" s="83"/>
      <c r="CJ94" s="83"/>
      <c r="CK94" s="83"/>
      <c r="CL94" s="83"/>
      <c r="CM94" s="83"/>
      <c r="CN94" s="84"/>
      <c r="CO94" s="82"/>
      <c r="CP94" s="82"/>
      <c r="CQ94" s="82"/>
      <c r="CR94" s="82"/>
      <c r="CS94" s="85"/>
      <c r="CT94" s="85"/>
      <c r="CU94" s="85"/>
      <c r="CV94" s="85"/>
      <c r="CW94" s="85"/>
      <c r="CX94" s="85"/>
      <c r="CY94" s="85"/>
      <c r="CZ94" s="85"/>
      <c r="DA94" s="85"/>
      <c r="DB94" s="85"/>
      <c r="DC94" s="85"/>
      <c r="DD94" s="85"/>
      <c r="DE94" s="85"/>
      <c r="DF94" s="85"/>
      <c r="DG94" s="85"/>
      <c r="DH94" s="85"/>
      <c r="DJ94" s="29">
        <f t="shared" si="110"/>
        <v>0</v>
      </c>
      <c r="DK94" s="29">
        <f t="shared" si="96"/>
        <v>0</v>
      </c>
      <c r="DL94" s="29">
        <f t="shared" si="97"/>
        <v>0</v>
      </c>
    </row>
    <row r="95" spans="1:117" s="43" customFormat="1" ht="27.75" customHeight="1" x14ac:dyDescent="0.25">
      <c r="A95" s="248" t="s">
        <v>263</v>
      </c>
      <c r="B95" s="231" t="s">
        <v>264</v>
      </c>
      <c r="C95" s="69" t="s">
        <v>265</v>
      </c>
      <c r="D95" s="21" t="s">
        <v>266</v>
      </c>
      <c r="E95" s="22">
        <v>301</v>
      </c>
      <c r="F95" s="23" t="s">
        <v>267</v>
      </c>
      <c r="G95" s="24">
        <f t="shared" ref="G95:G112" si="116">SUM(H95:Z95)</f>
        <v>82075557</v>
      </c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>
        <f>85000000-2924443</f>
        <v>82075557</v>
      </c>
      <c r="W95" s="24"/>
      <c r="X95" s="24"/>
      <c r="Y95" s="24"/>
      <c r="Z95" s="24"/>
      <c r="AA95" s="25">
        <f t="shared" ref="AA95:AA133" si="117">+AB95/G95</f>
        <v>0.95104883662257689</v>
      </c>
      <c r="AB95" s="24">
        <f t="shared" ref="AB95:AB112" si="118">SUM(AC95:AV95)</f>
        <v>78057863</v>
      </c>
      <c r="AC95" s="24"/>
      <c r="AD95" s="24"/>
      <c r="AE95" s="24"/>
      <c r="AF95" s="24"/>
      <c r="AG95" s="24"/>
      <c r="AH95" s="24"/>
      <c r="AI95" s="24"/>
      <c r="AJ95" s="24"/>
      <c r="AK95" s="24"/>
      <c r="AL95" s="24"/>
      <c r="AM95" s="24"/>
      <c r="AN95" s="24"/>
      <c r="AO95" s="24"/>
      <c r="AP95" s="24"/>
      <c r="AQ95" s="24"/>
      <c r="AR95" s="24">
        <f>+'[4]AGOSTO 2016'!$Z$627</f>
        <v>78057863</v>
      </c>
      <c r="AS95" s="24"/>
      <c r="AT95" s="24"/>
      <c r="AU95" s="24"/>
      <c r="AV95" s="24"/>
      <c r="AW95" s="25">
        <f t="shared" ref="AW95:AW133" si="119">1-AA95</f>
        <v>4.8951163377423113E-2</v>
      </c>
      <c r="AX95" s="24">
        <f t="shared" ref="AX95:AX112" si="120">SUM(AY95:BQ95)</f>
        <v>4017694</v>
      </c>
      <c r="AY95" s="24">
        <f t="shared" ref="AY95:BM109" si="121">H95-AD95</f>
        <v>0</v>
      </c>
      <c r="AZ95" s="24">
        <f t="shared" si="121"/>
        <v>0</v>
      </c>
      <c r="BA95" s="24">
        <f t="shared" si="121"/>
        <v>0</v>
      </c>
      <c r="BB95" s="24">
        <f t="shared" ref="BB95:BM101" si="122">+K95-AG95</f>
        <v>0</v>
      </c>
      <c r="BC95" s="24">
        <f t="shared" si="122"/>
        <v>0</v>
      </c>
      <c r="BD95" s="24">
        <f t="shared" si="122"/>
        <v>0</v>
      </c>
      <c r="BE95" s="24">
        <f t="shared" si="122"/>
        <v>0</v>
      </c>
      <c r="BF95" s="24">
        <f t="shared" si="122"/>
        <v>0</v>
      </c>
      <c r="BG95" s="24">
        <f t="shared" si="122"/>
        <v>0</v>
      </c>
      <c r="BH95" s="24">
        <f t="shared" si="122"/>
        <v>0</v>
      </c>
      <c r="BI95" s="24">
        <f t="shared" si="122"/>
        <v>0</v>
      </c>
      <c r="BJ95" s="24">
        <f t="shared" si="122"/>
        <v>0</v>
      </c>
      <c r="BK95" s="24">
        <f t="shared" si="122"/>
        <v>0</v>
      </c>
      <c r="BL95" s="24">
        <f t="shared" si="122"/>
        <v>0</v>
      </c>
      <c r="BM95" s="24">
        <f t="shared" si="122"/>
        <v>4017694</v>
      </c>
      <c r="BN95" s="24"/>
      <c r="BO95" s="24"/>
      <c r="BP95" s="24">
        <f t="shared" ref="BP95:BP109" si="123">Y95-AU95</f>
        <v>0</v>
      </c>
      <c r="BQ95" s="24">
        <f t="shared" ref="BQ95:BQ101" si="124">+Z95-AV95</f>
        <v>0</v>
      </c>
      <c r="BR95" s="25">
        <f t="shared" ref="BR95:BR133" si="125">+BS95/G95</f>
        <v>0.38412756674925763</v>
      </c>
      <c r="BS95" s="24">
        <f t="shared" ref="BS95:BS112" si="126">SUM(BT95:CM95)</f>
        <v>31527484</v>
      </c>
      <c r="BT95" s="24"/>
      <c r="BU95" s="24"/>
      <c r="BV95" s="24"/>
      <c r="BW95" s="24"/>
      <c r="BX95" s="24"/>
      <c r="BY95" s="24"/>
      <c r="BZ95" s="24"/>
      <c r="CA95" s="24"/>
      <c r="CB95" s="24"/>
      <c r="CC95" s="24"/>
      <c r="CD95" s="24"/>
      <c r="CE95" s="24"/>
      <c r="CF95" s="24"/>
      <c r="CG95" s="24"/>
      <c r="CH95" s="24"/>
      <c r="CI95" s="24">
        <f>+'[1]SEPTIEMBRE 2016'!$H$759</f>
        <v>31527484</v>
      </c>
      <c r="CJ95" s="24"/>
      <c r="CK95" s="24"/>
      <c r="CL95" s="24"/>
      <c r="CM95" s="24"/>
      <c r="CN95" s="25">
        <f t="shared" ref="CN95:CN133" si="127">1-BR95</f>
        <v>0.61587243325074237</v>
      </c>
      <c r="CO95" s="24">
        <f t="shared" ref="CO95:CO112" si="128">SUM(CP95:DH95)</f>
        <v>50548073</v>
      </c>
      <c r="CP95" s="24">
        <f t="shared" ref="CP95:CX109" si="129">H95-BU95</f>
        <v>0</v>
      </c>
      <c r="CQ95" s="24">
        <f t="shared" si="129"/>
        <v>0</v>
      </c>
      <c r="CR95" s="24">
        <f t="shared" si="129"/>
        <v>0</v>
      </c>
      <c r="CS95" s="24">
        <f t="shared" si="129"/>
        <v>0</v>
      </c>
      <c r="CT95" s="24">
        <f t="shared" si="129"/>
        <v>0</v>
      </c>
      <c r="CU95" s="24">
        <f t="shared" si="129"/>
        <v>0</v>
      </c>
      <c r="CV95" s="24">
        <f t="shared" ref="CV95:CX100" si="130">+N95-CA95</f>
        <v>0</v>
      </c>
      <c r="CW95" s="24">
        <f t="shared" si="130"/>
        <v>0</v>
      </c>
      <c r="CX95" s="24">
        <f t="shared" si="130"/>
        <v>0</v>
      </c>
      <c r="CY95" s="24">
        <f t="shared" ref="CY95:DA109" si="131">Q95-CD95</f>
        <v>0</v>
      </c>
      <c r="CZ95" s="24">
        <f t="shared" si="131"/>
        <v>0</v>
      </c>
      <c r="DA95" s="24">
        <f t="shared" si="131"/>
        <v>0</v>
      </c>
      <c r="DB95" s="24">
        <f t="shared" ref="DB95:DD101" si="132">+T95-CG95</f>
        <v>0</v>
      </c>
      <c r="DC95" s="24">
        <f t="shared" si="132"/>
        <v>0</v>
      </c>
      <c r="DD95" s="24">
        <f t="shared" si="132"/>
        <v>50548073</v>
      </c>
      <c r="DE95" s="24"/>
      <c r="DF95" s="24">
        <f t="shared" ref="DF95:DH101" si="133">+X95-CK95</f>
        <v>0</v>
      </c>
      <c r="DG95" s="24">
        <f t="shared" si="133"/>
        <v>0</v>
      </c>
      <c r="DH95" s="24">
        <f t="shared" si="133"/>
        <v>0</v>
      </c>
      <c r="DJ95" s="29">
        <f t="shared" si="110"/>
        <v>82075557</v>
      </c>
      <c r="DK95" s="29">
        <f t="shared" si="96"/>
        <v>82075557</v>
      </c>
      <c r="DL95" s="29">
        <f t="shared" si="97"/>
        <v>82075557</v>
      </c>
    </row>
    <row r="96" spans="1:117" s="43" customFormat="1" ht="27.75" customHeight="1" x14ac:dyDescent="0.25">
      <c r="A96" s="248"/>
      <c r="B96" s="232"/>
      <c r="C96" s="69" t="s">
        <v>268</v>
      </c>
      <c r="D96" s="21" t="s">
        <v>269</v>
      </c>
      <c r="E96" s="22">
        <v>301</v>
      </c>
      <c r="F96" s="23" t="s">
        <v>267</v>
      </c>
      <c r="G96" s="24">
        <f t="shared" si="116"/>
        <v>57924443</v>
      </c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>
        <f>55000000+2924443</f>
        <v>57924443</v>
      </c>
      <c r="W96" s="24"/>
      <c r="X96" s="24"/>
      <c r="Y96" s="24"/>
      <c r="Z96" s="24"/>
      <c r="AA96" s="25">
        <f t="shared" si="117"/>
        <v>0.94951279894050944</v>
      </c>
      <c r="AB96" s="24">
        <f t="shared" si="118"/>
        <v>55000000</v>
      </c>
      <c r="AC96" s="24"/>
      <c r="AD96" s="24"/>
      <c r="AE96" s="24"/>
      <c r="AF96" s="24"/>
      <c r="AG96" s="24"/>
      <c r="AH96" s="24"/>
      <c r="AI96" s="24"/>
      <c r="AJ96" s="24"/>
      <c r="AK96" s="24"/>
      <c r="AL96" s="24"/>
      <c r="AM96" s="24"/>
      <c r="AN96" s="24"/>
      <c r="AO96" s="24"/>
      <c r="AP96" s="24"/>
      <c r="AQ96" s="24"/>
      <c r="AR96" s="24">
        <f>+'[6]JUNIO 2016'!$Z$461</f>
        <v>55000000</v>
      </c>
      <c r="AS96" s="24"/>
      <c r="AT96" s="24"/>
      <c r="AU96" s="24"/>
      <c r="AV96" s="24"/>
      <c r="AW96" s="25">
        <f t="shared" si="119"/>
        <v>5.0487201059490561E-2</v>
      </c>
      <c r="AX96" s="24">
        <f t="shared" si="120"/>
        <v>2924443</v>
      </c>
      <c r="AY96" s="24">
        <f t="shared" si="121"/>
        <v>0</v>
      </c>
      <c r="AZ96" s="24">
        <f t="shared" si="121"/>
        <v>0</v>
      </c>
      <c r="BA96" s="24">
        <f t="shared" si="121"/>
        <v>0</v>
      </c>
      <c r="BB96" s="24">
        <f t="shared" si="122"/>
        <v>0</v>
      </c>
      <c r="BC96" s="24">
        <f t="shared" si="122"/>
        <v>0</v>
      </c>
      <c r="BD96" s="24">
        <f t="shared" si="122"/>
        <v>0</v>
      </c>
      <c r="BE96" s="24">
        <f t="shared" si="122"/>
        <v>0</v>
      </c>
      <c r="BF96" s="24">
        <f t="shared" si="122"/>
        <v>0</v>
      </c>
      <c r="BG96" s="24">
        <f t="shared" si="122"/>
        <v>0</v>
      </c>
      <c r="BH96" s="24">
        <f t="shared" si="122"/>
        <v>0</v>
      </c>
      <c r="BI96" s="24">
        <f t="shared" si="122"/>
        <v>0</v>
      </c>
      <c r="BJ96" s="24">
        <f t="shared" si="122"/>
        <v>0</v>
      </c>
      <c r="BK96" s="24">
        <f t="shared" si="122"/>
        <v>0</v>
      </c>
      <c r="BL96" s="24">
        <f t="shared" si="122"/>
        <v>0</v>
      </c>
      <c r="BM96" s="24">
        <f t="shared" si="122"/>
        <v>2924443</v>
      </c>
      <c r="BN96" s="24"/>
      <c r="BO96" s="24"/>
      <c r="BP96" s="24">
        <f t="shared" si="123"/>
        <v>0</v>
      </c>
      <c r="BQ96" s="24">
        <f t="shared" si="124"/>
        <v>0</v>
      </c>
      <c r="BR96" s="25">
        <f t="shared" si="125"/>
        <v>0.94334160451055182</v>
      </c>
      <c r="BS96" s="24">
        <f t="shared" si="126"/>
        <v>54642537</v>
      </c>
      <c r="BT96" s="24"/>
      <c r="BU96" s="24"/>
      <c r="BV96" s="24"/>
      <c r="BW96" s="24"/>
      <c r="BX96" s="24"/>
      <c r="BY96" s="24"/>
      <c r="BZ96" s="24"/>
      <c r="CA96" s="24"/>
      <c r="CB96" s="24"/>
      <c r="CC96" s="24"/>
      <c r="CD96" s="24"/>
      <c r="CE96" s="24"/>
      <c r="CF96" s="24"/>
      <c r="CG96" s="24"/>
      <c r="CH96" s="24"/>
      <c r="CI96" s="24">
        <f>+'[4]AGOSTO 2016'!$H$648</f>
        <v>54642537</v>
      </c>
      <c r="CJ96" s="24"/>
      <c r="CK96" s="24"/>
      <c r="CL96" s="24"/>
      <c r="CM96" s="24"/>
      <c r="CN96" s="25">
        <f t="shared" si="127"/>
        <v>5.6658395489448177E-2</v>
      </c>
      <c r="CO96" s="24">
        <f t="shared" si="128"/>
        <v>3281906</v>
      </c>
      <c r="CP96" s="24">
        <f t="shared" si="129"/>
        <v>0</v>
      </c>
      <c r="CQ96" s="24">
        <f t="shared" si="129"/>
        <v>0</v>
      </c>
      <c r="CR96" s="24">
        <f t="shared" si="129"/>
        <v>0</v>
      </c>
      <c r="CS96" s="24">
        <f t="shared" si="129"/>
        <v>0</v>
      </c>
      <c r="CT96" s="24">
        <f t="shared" si="129"/>
        <v>0</v>
      </c>
      <c r="CU96" s="24">
        <f t="shared" si="129"/>
        <v>0</v>
      </c>
      <c r="CV96" s="24">
        <f t="shared" si="130"/>
        <v>0</v>
      </c>
      <c r="CW96" s="24">
        <f t="shared" si="130"/>
        <v>0</v>
      </c>
      <c r="CX96" s="24">
        <f t="shared" si="130"/>
        <v>0</v>
      </c>
      <c r="CY96" s="24">
        <f t="shared" si="131"/>
        <v>0</v>
      </c>
      <c r="CZ96" s="24">
        <f t="shared" si="131"/>
        <v>0</v>
      </c>
      <c r="DA96" s="24">
        <f t="shared" si="131"/>
        <v>0</v>
      </c>
      <c r="DB96" s="24">
        <f t="shared" si="132"/>
        <v>0</v>
      </c>
      <c r="DC96" s="24">
        <f t="shared" si="132"/>
        <v>0</v>
      </c>
      <c r="DD96" s="24">
        <f t="shared" si="132"/>
        <v>3281906</v>
      </c>
      <c r="DE96" s="24"/>
      <c r="DF96" s="24">
        <f t="shared" si="133"/>
        <v>0</v>
      </c>
      <c r="DG96" s="24">
        <f t="shared" si="133"/>
        <v>0</v>
      </c>
      <c r="DH96" s="24">
        <f t="shared" si="133"/>
        <v>0</v>
      </c>
      <c r="DJ96" s="29">
        <f t="shared" si="110"/>
        <v>57924443</v>
      </c>
      <c r="DK96" s="29">
        <f t="shared" si="96"/>
        <v>57924443</v>
      </c>
      <c r="DL96" s="29">
        <f t="shared" si="97"/>
        <v>57924443</v>
      </c>
    </row>
    <row r="97" spans="1:116" s="43" customFormat="1" ht="21.75" customHeight="1" x14ac:dyDescent="0.25">
      <c r="A97" s="248"/>
      <c r="B97" s="232"/>
      <c r="C97" s="69" t="s">
        <v>270</v>
      </c>
      <c r="D97" s="21" t="s">
        <v>271</v>
      </c>
      <c r="E97" s="22">
        <v>301</v>
      </c>
      <c r="F97" s="23" t="s">
        <v>267</v>
      </c>
      <c r="G97" s="24">
        <f t="shared" si="116"/>
        <v>38600000</v>
      </c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>
        <f>30000000+8600000</f>
        <v>38600000</v>
      </c>
      <c r="W97" s="24"/>
      <c r="X97" s="24"/>
      <c r="Y97" s="24"/>
      <c r="Z97" s="24"/>
      <c r="AA97" s="25">
        <f t="shared" si="117"/>
        <v>0.76161233160621766</v>
      </c>
      <c r="AB97" s="24">
        <f t="shared" si="118"/>
        <v>29398236</v>
      </c>
      <c r="AC97" s="24"/>
      <c r="AD97" s="24"/>
      <c r="AE97" s="24"/>
      <c r="AF97" s="24"/>
      <c r="AG97" s="24"/>
      <c r="AH97" s="24"/>
      <c r="AI97" s="24"/>
      <c r="AJ97" s="24"/>
      <c r="AK97" s="24"/>
      <c r="AL97" s="24"/>
      <c r="AM97" s="24"/>
      <c r="AN97" s="24"/>
      <c r="AO97" s="24"/>
      <c r="AP97" s="24"/>
      <c r="AQ97" s="24"/>
      <c r="AR97" s="24">
        <f>+'[4]AGOSTO 2016'!$G$665</f>
        <v>29398236</v>
      </c>
      <c r="AS97" s="24"/>
      <c r="AT97" s="24"/>
      <c r="AU97" s="24"/>
      <c r="AV97" s="24"/>
      <c r="AW97" s="25">
        <f t="shared" si="119"/>
        <v>0.23838766839378234</v>
      </c>
      <c r="AX97" s="24">
        <f t="shared" si="120"/>
        <v>9201764</v>
      </c>
      <c r="AY97" s="24">
        <f t="shared" si="121"/>
        <v>0</v>
      </c>
      <c r="AZ97" s="24">
        <f t="shared" si="121"/>
        <v>0</v>
      </c>
      <c r="BA97" s="24">
        <f t="shared" si="121"/>
        <v>0</v>
      </c>
      <c r="BB97" s="24">
        <f t="shared" si="122"/>
        <v>0</v>
      </c>
      <c r="BC97" s="24">
        <f t="shared" si="122"/>
        <v>0</v>
      </c>
      <c r="BD97" s="24">
        <f t="shared" si="122"/>
        <v>0</v>
      </c>
      <c r="BE97" s="24">
        <f t="shared" si="122"/>
        <v>0</v>
      </c>
      <c r="BF97" s="24">
        <f t="shared" si="122"/>
        <v>0</v>
      </c>
      <c r="BG97" s="24">
        <f t="shared" si="122"/>
        <v>0</v>
      </c>
      <c r="BH97" s="24">
        <f t="shared" si="122"/>
        <v>0</v>
      </c>
      <c r="BI97" s="24">
        <f t="shared" si="122"/>
        <v>0</v>
      </c>
      <c r="BJ97" s="24">
        <f t="shared" si="122"/>
        <v>0</v>
      </c>
      <c r="BK97" s="24">
        <f t="shared" si="122"/>
        <v>0</v>
      </c>
      <c r="BL97" s="24">
        <f t="shared" si="122"/>
        <v>0</v>
      </c>
      <c r="BM97" s="24">
        <f t="shared" si="122"/>
        <v>9201764</v>
      </c>
      <c r="BN97" s="24"/>
      <c r="BO97" s="24"/>
      <c r="BP97" s="24">
        <f t="shared" si="123"/>
        <v>0</v>
      </c>
      <c r="BQ97" s="24">
        <f t="shared" si="124"/>
        <v>0</v>
      </c>
      <c r="BR97" s="25">
        <f t="shared" si="125"/>
        <v>0.75817126943005186</v>
      </c>
      <c r="BS97" s="24">
        <f t="shared" si="126"/>
        <v>29265411</v>
      </c>
      <c r="BT97" s="24"/>
      <c r="BU97" s="24"/>
      <c r="BV97" s="24"/>
      <c r="BW97" s="24"/>
      <c r="BX97" s="24"/>
      <c r="BY97" s="24"/>
      <c r="BZ97" s="24"/>
      <c r="CA97" s="24"/>
      <c r="CB97" s="24"/>
      <c r="CC97" s="24"/>
      <c r="CD97" s="24"/>
      <c r="CE97" s="24"/>
      <c r="CF97" s="24"/>
      <c r="CG97" s="24"/>
      <c r="CH97" s="24"/>
      <c r="CI97" s="24">
        <f>+'[4]AGOSTO 2016'!$H$665</f>
        <v>29265411</v>
      </c>
      <c r="CJ97" s="24"/>
      <c r="CK97" s="24"/>
      <c r="CL97" s="24"/>
      <c r="CM97" s="24"/>
      <c r="CN97" s="25">
        <f t="shared" si="127"/>
        <v>0.24182873056994814</v>
      </c>
      <c r="CO97" s="24">
        <f t="shared" si="128"/>
        <v>9334589</v>
      </c>
      <c r="CP97" s="24">
        <f t="shared" si="129"/>
        <v>0</v>
      </c>
      <c r="CQ97" s="24">
        <f t="shared" si="129"/>
        <v>0</v>
      </c>
      <c r="CR97" s="24">
        <f t="shared" si="129"/>
        <v>0</v>
      </c>
      <c r="CS97" s="24">
        <f t="shared" si="129"/>
        <v>0</v>
      </c>
      <c r="CT97" s="24">
        <f t="shared" si="129"/>
        <v>0</v>
      </c>
      <c r="CU97" s="24">
        <f t="shared" si="129"/>
        <v>0</v>
      </c>
      <c r="CV97" s="24">
        <f t="shared" si="130"/>
        <v>0</v>
      </c>
      <c r="CW97" s="24">
        <f t="shared" si="130"/>
        <v>0</v>
      </c>
      <c r="CX97" s="24">
        <f t="shared" si="130"/>
        <v>0</v>
      </c>
      <c r="CY97" s="24">
        <f t="shared" si="131"/>
        <v>0</v>
      </c>
      <c r="CZ97" s="24">
        <f t="shared" si="131"/>
        <v>0</v>
      </c>
      <c r="DA97" s="24">
        <f t="shared" si="131"/>
        <v>0</v>
      </c>
      <c r="DB97" s="24">
        <f t="shared" si="132"/>
        <v>0</v>
      </c>
      <c r="DC97" s="24">
        <f t="shared" si="132"/>
        <v>0</v>
      </c>
      <c r="DD97" s="24">
        <f t="shared" si="132"/>
        <v>9334589</v>
      </c>
      <c r="DE97" s="24"/>
      <c r="DF97" s="24">
        <f t="shared" si="133"/>
        <v>0</v>
      </c>
      <c r="DG97" s="24">
        <f t="shared" si="133"/>
        <v>0</v>
      </c>
      <c r="DH97" s="24">
        <f t="shared" si="133"/>
        <v>0</v>
      </c>
      <c r="DJ97" s="29">
        <f t="shared" si="110"/>
        <v>38600000</v>
      </c>
      <c r="DK97" s="29">
        <f t="shared" si="96"/>
        <v>38600000</v>
      </c>
      <c r="DL97" s="29">
        <f t="shared" si="97"/>
        <v>38600000</v>
      </c>
    </row>
    <row r="98" spans="1:116" ht="35.25" customHeight="1" x14ac:dyDescent="0.25">
      <c r="A98" s="248"/>
      <c r="B98" s="232"/>
      <c r="C98" s="69" t="s">
        <v>272</v>
      </c>
      <c r="D98" s="21" t="s">
        <v>273</v>
      </c>
      <c r="E98" s="22">
        <v>301</v>
      </c>
      <c r="F98" s="23" t="s">
        <v>274</v>
      </c>
      <c r="G98" s="24">
        <f t="shared" si="116"/>
        <v>53000000</v>
      </c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>
        <f>25000000-23000000</f>
        <v>2000000</v>
      </c>
      <c r="W98" s="24"/>
      <c r="X98" s="24"/>
      <c r="Y98" s="24"/>
      <c r="Z98" s="24">
        <f>25000000+1000000+5000000+20000000</f>
        <v>51000000</v>
      </c>
      <c r="AA98" s="25">
        <f t="shared" si="117"/>
        <v>0.50190237735849053</v>
      </c>
      <c r="AB98" s="24">
        <f>SUM(AC98:AV98)</f>
        <v>26600826</v>
      </c>
      <c r="AC98" s="24"/>
      <c r="AD98" s="24"/>
      <c r="AE98" s="24"/>
      <c r="AF98" s="24"/>
      <c r="AG98" s="24"/>
      <c r="AH98" s="24"/>
      <c r="AI98" s="24"/>
      <c r="AJ98" s="24"/>
      <c r="AK98" s="24"/>
      <c r="AL98" s="24"/>
      <c r="AM98" s="24"/>
      <c r="AN98" s="24"/>
      <c r="AO98" s="24"/>
      <c r="AP98" s="24"/>
      <c r="AQ98" s="24"/>
      <c r="AR98" s="24">
        <f>+'[4]AGOSTO 2016'!$Z$680</f>
        <v>2000000</v>
      </c>
      <c r="AS98" s="24"/>
      <c r="AT98" s="24"/>
      <c r="AU98" s="24"/>
      <c r="AV98" s="24">
        <f>+'[1]SEPTIEMBRE 2016'!$AG$817</f>
        <v>24600826</v>
      </c>
      <c r="AW98" s="25">
        <f t="shared" si="119"/>
        <v>0.49809762264150947</v>
      </c>
      <c r="AX98" s="24">
        <f t="shared" si="120"/>
        <v>26399174</v>
      </c>
      <c r="AY98" s="24">
        <f t="shared" si="121"/>
        <v>0</v>
      </c>
      <c r="AZ98" s="24">
        <f t="shared" si="121"/>
        <v>0</v>
      </c>
      <c r="BA98" s="24">
        <f t="shared" si="121"/>
        <v>0</v>
      </c>
      <c r="BB98" s="24">
        <f t="shared" si="122"/>
        <v>0</v>
      </c>
      <c r="BC98" s="24">
        <f t="shared" si="122"/>
        <v>0</v>
      </c>
      <c r="BD98" s="24">
        <f t="shared" si="122"/>
        <v>0</v>
      </c>
      <c r="BE98" s="24">
        <f t="shared" si="122"/>
        <v>0</v>
      </c>
      <c r="BF98" s="24">
        <f t="shared" si="122"/>
        <v>0</v>
      </c>
      <c r="BG98" s="24">
        <f t="shared" si="122"/>
        <v>0</v>
      </c>
      <c r="BH98" s="24">
        <f t="shared" si="122"/>
        <v>0</v>
      </c>
      <c r="BI98" s="24">
        <f t="shared" si="122"/>
        <v>0</v>
      </c>
      <c r="BJ98" s="24">
        <f t="shared" si="122"/>
        <v>0</v>
      </c>
      <c r="BK98" s="24">
        <f t="shared" si="122"/>
        <v>0</v>
      </c>
      <c r="BL98" s="24">
        <f t="shared" si="122"/>
        <v>0</v>
      </c>
      <c r="BM98" s="24">
        <f t="shared" si="122"/>
        <v>0</v>
      </c>
      <c r="BN98" s="24"/>
      <c r="BO98" s="24"/>
      <c r="BP98" s="24">
        <f t="shared" si="123"/>
        <v>0</v>
      </c>
      <c r="BQ98" s="24">
        <f t="shared" si="124"/>
        <v>26399174</v>
      </c>
      <c r="BR98" s="25">
        <f t="shared" si="125"/>
        <v>0.48301558490566038</v>
      </c>
      <c r="BS98" s="24">
        <f t="shared" si="126"/>
        <v>25599826</v>
      </c>
      <c r="BT98" s="24"/>
      <c r="BU98" s="24"/>
      <c r="BV98" s="24"/>
      <c r="BW98" s="24"/>
      <c r="BX98" s="24"/>
      <c r="BY98" s="24"/>
      <c r="BZ98" s="24"/>
      <c r="CA98" s="24"/>
      <c r="CB98" s="24"/>
      <c r="CC98" s="24"/>
      <c r="CD98" s="24"/>
      <c r="CE98" s="24"/>
      <c r="CF98" s="24"/>
      <c r="CG98" s="24"/>
      <c r="CH98" s="24"/>
      <c r="CI98" s="24">
        <v>2000000</v>
      </c>
      <c r="CJ98" s="24"/>
      <c r="CK98" s="24"/>
      <c r="CL98" s="24"/>
      <c r="CM98" s="24">
        <f>+'[1]SEPTIEMBRE 2016'!$H$815-CI98</f>
        <v>23599826</v>
      </c>
      <c r="CN98" s="25">
        <f t="shared" si="127"/>
        <v>0.51698441509433968</v>
      </c>
      <c r="CO98" s="24">
        <f t="shared" si="128"/>
        <v>27400174</v>
      </c>
      <c r="CP98" s="24">
        <f t="shared" si="129"/>
        <v>0</v>
      </c>
      <c r="CQ98" s="24">
        <f t="shared" si="129"/>
        <v>0</v>
      </c>
      <c r="CR98" s="24">
        <f t="shared" si="129"/>
        <v>0</v>
      </c>
      <c r="CS98" s="24">
        <f t="shared" si="129"/>
        <v>0</v>
      </c>
      <c r="CT98" s="24">
        <f t="shared" si="129"/>
        <v>0</v>
      </c>
      <c r="CU98" s="24">
        <f t="shared" si="129"/>
        <v>0</v>
      </c>
      <c r="CV98" s="24">
        <f t="shared" si="130"/>
        <v>0</v>
      </c>
      <c r="CW98" s="24">
        <f t="shared" si="130"/>
        <v>0</v>
      </c>
      <c r="CX98" s="24">
        <f t="shared" si="130"/>
        <v>0</v>
      </c>
      <c r="CY98" s="24">
        <f t="shared" si="131"/>
        <v>0</v>
      </c>
      <c r="CZ98" s="24">
        <f t="shared" si="131"/>
        <v>0</v>
      </c>
      <c r="DA98" s="24">
        <f t="shared" si="131"/>
        <v>0</v>
      </c>
      <c r="DB98" s="24">
        <f t="shared" si="132"/>
        <v>0</v>
      </c>
      <c r="DC98" s="24">
        <f t="shared" si="132"/>
        <v>0</v>
      </c>
      <c r="DD98" s="24">
        <f t="shared" si="132"/>
        <v>0</v>
      </c>
      <c r="DE98" s="24"/>
      <c r="DF98" s="24">
        <f t="shared" si="133"/>
        <v>0</v>
      </c>
      <c r="DG98" s="24">
        <f t="shared" si="133"/>
        <v>0</v>
      </c>
      <c r="DH98" s="24">
        <f t="shared" si="133"/>
        <v>27400174</v>
      </c>
      <c r="DJ98" s="29">
        <f t="shared" si="110"/>
        <v>53000000</v>
      </c>
      <c r="DK98" s="29">
        <f t="shared" si="96"/>
        <v>53000000</v>
      </c>
      <c r="DL98" s="29">
        <f t="shared" si="97"/>
        <v>53000000</v>
      </c>
    </row>
    <row r="99" spans="1:116" ht="33" customHeight="1" x14ac:dyDescent="0.25">
      <c r="A99" s="248"/>
      <c r="B99" s="232"/>
      <c r="C99" s="69" t="s">
        <v>275</v>
      </c>
      <c r="D99" s="21" t="s">
        <v>276</v>
      </c>
      <c r="E99" s="22">
        <v>301</v>
      </c>
      <c r="F99" s="23" t="s">
        <v>267</v>
      </c>
      <c r="G99" s="24">
        <f t="shared" si="116"/>
        <v>34000000</v>
      </c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>
        <v>34000000</v>
      </c>
      <c r="W99" s="24"/>
      <c r="X99" s="24"/>
      <c r="Y99" s="24"/>
      <c r="Z99" s="24"/>
      <c r="AA99" s="25">
        <f t="shared" si="117"/>
        <v>0.99863861764705886</v>
      </c>
      <c r="AB99" s="24">
        <f t="shared" si="118"/>
        <v>33953713</v>
      </c>
      <c r="AC99" s="24"/>
      <c r="AD99" s="24"/>
      <c r="AE99" s="24"/>
      <c r="AF99" s="24"/>
      <c r="AG99" s="24"/>
      <c r="AH99" s="24"/>
      <c r="AI99" s="24"/>
      <c r="AJ99" s="24"/>
      <c r="AK99" s="24"/>
      <c r="AL99" s="24"/>
      <c r="AM99" s="24"/>
      <c r="AN99" s="24"/>
      <c r="AO99" s="24"/>
      <c r="AP99" s="24"/>
      <c r="AQ99" s="24"/>
      <c r="AR99" s="24">
        <f>+'[8]ABRIL 2016'!$Z$347</f>
        <v>33953713</v>
      </c>
      <c r="AS99" s="24"/>
      <c r="AT99" s="24"/>
      <c r="AU99" s="24"/>
      <c r="AV99" s="24"/>
      <c r="AW99" s="25">
        <f t="shared" si="119"/>
        <v>1.3613823529411428E-3</v>
      </c>
      <c r="AX99" s="24">
        <f t="shared" si="120"/>
        <v>46287</v>
      </c>
      <c r="AY99" s="24">
        <f t="shared" si="121"/>
        <v>0</v>
      </c>
      <c r="AZ99" s="24">
        <f t="shared" si="121"/>
        <v>0</v>
      </c>
      <c r="BA99" s="24">
        <f t="shared" si="121"/>
        <v>0</v>
      </c>
      <c r="BB99" s="24">
        <f t="shared" si="122"/>
        <v>0</v>
      </c>
      <c r="BC99" s="24">
        <f t="shared" si="122"/>
        <v>0</v>
      </c>
      <c r="BD99" s="24">
        <f t="shared" si="122"/>
        <v>0</v>
      </c>
      <c r="BE99" s="24">
        <f t="shared" si="122"/>
        <v>0</v>
      </c>
      <c r="BF99" s="24">
        <f t="shared" si="122"/>
        <v>0</v>
      </c>
      <c r="BG99" s="24">
        <f t="shared" si="122"/>
        <v>0</v>
      </c>
      <c r="BH99" s="24">
        <f t="shared" si="122"/>
        <v>0</v>
      </c>
      <c r="BI99" s="24">
        <f t="shared" si="122"/>
        <v>0</v>
      </c>
      <c r="BJ99" s="24">
        <f t="shared" si="122"/>
        <v>0</v>
      </c>
      <c r="BK99" s="24">
        <f t="shared" si="122"/>
        <v>0</v>
      </c>
      <c r="BL99" s="24">
        <f t="shared" si="122"/>
        <v>0</v>
      </c>
      <c r="BM99" s="24">
        <f t="shared" si="122"/>
        <v>46287</v>
      </c>
      <c r="BN99" s="24"/>
      <c r="BO99" s="24"/>
      <c r="BP99" s="24">
        <f t="shared" si="123"/>
        <v>0</v>
      </c>
      <c r="BQ99" s="24">
        <f t="shared" si="124"/>
        <v>0</v>
      </c>
      <c r="BR99" s="25">
        <f t="shared" si="125"/>
        <v>0.99650888235294122</v>
      </c>
      <c r="BS99" s="24">
        <f t="shared" si="126"/>
        <v>33881302</v>
      </c>
      <c r="BT99" s="24"/>
      <c r="BU99" s="24"/>
      <c r="BV99" s="24"/>
      <c r="BW99" s="24"/>
      <c r="BX99" s="24"/>
      <c r="BY99" s="24"/>
      <c r="BZ99" s="24"/>
      <c r="CA99" s="24"/>
      <c r="CB99" s="24"/>
      <c r="CC99" s="24"/>
      <c r="CD99" s="24"/>
      <c r="CE99" s="24"/>
      <c r="CF99" s="24"/>
      <c r="CG99" s="24"/>
      <c r="CH99" s="24"/>
      <c r="CI99" s="24">
        <f>+'[7]MAYO 2016'!$H$416</f>
        <v>33881302</v>
      </c>
      <c r="CJ99" s="24"/>
      <c r="CK99" s="24"/>
      <c r="CL99" s="24"/>
      <c r="CM99" s="24"/>
      <c r="CN99" s="25">
        <f t="shared" si="127"/>
        <v>3.4911176470587835E-3</v>
      </c>
      <c r="CO99" s="24">
        <f t="shared" si="128"/>
        <v>118698</v>
      </c>
      <c r="CP99" s="24">
        <f t="shared" si="129"/>
        <v>0</v>
      </c>
      <c r="CQ99" s="24">
        <f t="shared" si="129"/>
        <v>0</v>
      </c>
      <c r="CR99" s="24">
        <f t="shared" si="129"/>
        <v>0</v>
      </c>
      <c r="CS99" s="24">
        <f t="shared" si="129"/>
        <v>0</v>
      </c>
      <c r="CT99" s="24">
        <f t="shared" si="129"/>
        <v>0</v>
      </c>
      <c r="CU99" s="24">
        <f t="shared" si="129"/>
        <v>0</v>
      </c>
      <c r="CV99" s="24">
        <f t="shared" si="130"/>
        <v>0</v>
      </c>
      <c r="CW99" s="24">
        <f t="shared" si="130"/>
        <v>0</v>
      </c>
      <c r="CX99" s="24">
        <f t="shared" si="130"/>
        <v>0</v>
      </c>
      <c r="CY99" s="24">
        <f t="shared" si="131"/>
        <v>0</v>
      </c>
      <c r="CZ99" s="24">
        <f t="shared" si="131"/>
        <v>0</v>
      </c>
      <c r="DA99" s="24">
        <f t="shared" si="131"/>
        <v>0</v>
      </c>
      <c r="DB99" s="24">
        <f t="shared" si="132"/>
        <v>0</v>
      </c>
      <c r="DC99" s="24">
        <f t="shared" si="132"/>
        <v>0</v>
      </c>
      <c r="DD99" s="24">
        <f t="shared" si="132"/>
        <v>118698</v>
      </c>
      <c r="DE99" s="24"/>
      <c r="DF99" s="24">
        <f t="shared" si="133"/>
        <v>0</v>
      </c>
      <c r="DG99" s="24">
        <f t="shared" si="133"/>
        <v>0</v>
      </c>
      <c r="DH99" s="24">
        <f t="shared" si="133"/>
        <v>0</v>
      </c>
      <c r="DJ99" s="29">
        <f t="shared" si="110"/>
        <v>34000000</v>
      </c>
      <c r="DK99" s="29">
        <f t="shared" si="96"/>
        <v>34000000</v>
      </c>
      <c r="DL99" s="29">
        <f t="shared" si="97"/>
        <v>34000000</v>
      </c>
    </row>
    <row r="100" spans="1:116" ht="23.25" customHeight="1" x14ac:dyDescent="0.25">
      <c r="A100" s="248"/>
      <c r="B100" s="232"/>
      <c r="C100" s="69" t="s">
        <v>277</v>
      </c>
      <c r="D100" s="21" t="s">
        <v>278</v>
      </c>
      <c r="E100" s="22">
        <v>301</v>
      </c>
      <c r="F100" s="23" t="s">
        <v>190</v>
      </c>
      <c r="G100" s="24">
        <f t="shared" si="116"/>
        <v>113185104</v>
      </c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>
        <f>53185104</f>
        <v>53185104</v>
      </c>
      <c r="V100" s="24">
        <v>60000000</v>
      </c>
      <c r="W100" s="24"/>
      <c r="X100" s="24"/>
      <c r="Y100" s="24"/>
      <c r="Z100" s="24"/>
      <c r="AA100" s="25">
        <f t="shared" si="117"/>
        <v>1</v>
      </c>
      <c r="AB100" s="24">
        <f t="shared" si="118"/>
        <v>113185104</v>
      </c>
      <c r="AC100" s="24"/>
      <c r="AD100" s="24"/>
      <c r="AE100" s="24"/>
      <c r="AF100" s="24"/>
      <c r="AG100" s="24"/>
      <c r="AH100" s="24"/>
      <c r="AI100" s="24"/>
      <c r="AJ100" s="24"/>
      <c r="AK100" s="24"/>
      <c r="AL100" s="24"/>
      <c r="AM100" s="24"/>
      <c r="AN100" s="24"/>
      <c r="AO100" s="24"/>
      <c r="AP100" s="24"/>
      <c r="AQ100" s="24">
        <f>+'[1]SEPTIEMBRE 2016'!$Y$856</f>
        <v>53185104</v>
      </c>
      <c r="AR100" s="24">
        <f>+'[2]ENERO 2016'!$Z$180</f>
        <v>60000000</v>
      </c>
      <c r="AS100" s="24"/>
      <c r="AT100" s="24"/>
      <c r="AU100" s="24"/>
      <c r="AV100" s="24"/>
      <c r="AW100" s="25">
        <f t="shared" si="119"/>
        <v>0</v>
      </c>
      <c r="AX100" s="24">
        <f t="shared" si="120"/>
        <v>0</v>
      </c>
      <c r="AY100" s="24">
        <f t="shared" si="121"/>
        <v>0</v>
      </c>
      <c r="AZ100" s="24">
        <f t="shared" si="121"/>
        <v>0</v>
      </c>
      <c r="BA100" s="24">
        <f t="shared" si="121"/>
        <v>0</v>
      </c>
      <c r="BB100" s="24">
        <f t="shared" si="122"/>
        <v>0</v>
      </c>
      <c r="BC100" s="24">
        <f t="shared" si="122"/>
        <v>0</v>
      </c>
      <c r="BD100" s="24">
        <f t="shared" si="122"/>
        <v>0</v>
      </c>
      <c r="BE100" s="24">
        <f t="shared" si="122"/>
        <v>0</v>
      </c>
      <c r="BF100" s="24">
        <f t="shared" si="122"/>
        <v>0</v>
      </c>
      <c r="BG100" s="24">
        <f t="shared" si="122"/>
        <v>0</v>
      </c>
      <c r="BH100" s="24">
        <f t="shared" si="122"/>
        <v>0</v>
      </c>
      <c r="BI100" s="24">
        <f t="shared" si="122"/>
        <v>0</v>
      </c>
      <c r="BJ100" s="24">
        <f t="shared" si="122"/>
        <v>0</v>
      </c>
      <c r="BK100" s="24">
        <f t="shared" si="122"/>
        <v>0</v>
      </c>
      <c r="BL100" s="24">
        <f t="shared" si="122"/>
        <v>0</v>
      </c>
      <c r="BM100" s="24">
        <f t="shared" si="122"/>
        <v>0</v>
      </c>
      <c r="BN100" s="24"/>
      <c r="BO100" s="24"/>
      <c r="BP100" s="24">
        <f t="shared" si="123"/>
        <v>0</v>
      </c>
      <c r="BQ100" s="24">
        <f t="shared" si="124"/>
        <v>0</v>
      </c>
      <c r="BR100" s="25">
        <f t="shared" si="125"/>
        <v>0.78100794959732511</v>
      </c>
      <c r="BS100" s="24">
        <f t="shared" si="126"/>
        <v>88398466</v>
      </c>
      <c r="BT100" s="24"/>
      <c r="BU100" s="24"/>
      <c r="BV100" s="24"/>
      <c r="BW100" s="24"/>
      <c r="BX100" s="24"/>
      <c r="BY100" s="24"/>
      <c r="BZ100" s="24"/>
      <c r="CA100" s="24"/>
      <c r="CB100" s="24"/>
      <c r="CC100" s="24"/>
      <c r="CD100" s="24"/>
      <c r="CE100" s="24"/>
      <c r="CF100" s="24"/>
      <c r="CG100" s="24"/>
      <c r="CH100" s="24">
        <f>+'[1]SEPTIEMBRE 2016'!$H$879</f>
        <v>30040000</v>
      </c>
      <c r="CI100" s="24">
        <f>+'[1]SEPTIEMBRE 2016'!$H$857</f>
        <v>58358466</v>
      </c>
      <c r="CJ100" s="24"/>
      <c r="CK100" s="24"/>
      <c r="CL100" s="24"/>
      <c r="CM100" s="24"/>
      <c r="CN100" s="25">
        <f t="shared" si="127"/>
        <v>0.21899205040267489</v>
      </c>
      <c r="CO100" s="24">
        <f t="shared" si="128"/>
        <v>24786638</v>
      </c>
      <c r="CP100" s="24">
        <f t="shared" si="129"/>
        <v>0</v>
      </c>
      <c r="CQ100" s="24">
        <f t="shared" si="129"/>
        <v>0</v>
      </c>
      <c r="CR100" s="24">
        <f t="shared" si="129"/>
        <v>0</v>
      </c>
      <c r="CS100" s="24">
        <f t="shared" si="129"/>
        <v>0</v>
      </c>
      <c r="CT100" s="24">
        <f t="shared" si="129"/>
        <v>0</v>
      </c>
      <c r="CU100" s="24">
        <f t="shared" si="129"/>
        <v>0</v>
      </c>
      <c r="CV100" s="24">
        <f t="shared" si="130"/>
        <v>0</v>
      </c>
      <c r="CW100" s="24">
        <f t="shared" si="130"/>
        <v>0</v>
      </c>
      <c r="CX100" s="24">
        <f t="shared" si="130"/>
        <v>0</v>
      </c>
      <c r="CY100" s="24">
        <f t="shared" si="131"/>
        <v>0</v>
      </c>
      <c r="CZ100" s="24">
        <f t="shared" si="131"/>
        <v>0</v>
      </c>
      <c r="DA100" s="24">
        <f t="shared" si="131"/>
        <v>0</v>
      </c>
      <c r="DB100" s="24">
        <f t="shared" si="132"/>
        <v>0</v>
      </c>
      <c r="DC100" s="24">
        <f t="shared" si="132"/>
        <v>23145104</v>
      </c>
      <c r="DD100" s="24">
        <f t="shared" si="132"/>
        <v>1641534</v>
      </c>
      <c r="DE100" s="24"/>
      <c r="DF100" s="24">
        <f t="shared" si="133"/>
        <v>0</v>
      </c>
      <c r="DG100" s="24">
        <f t="shared" si="133"/>
        <v>0</v>
      </c>
      <c r="DH100" s="24">
        <f t="shared" si="133"/>
        <v>0</v>
      </c>
      <c r="DJ100" s="29">
        <f t="shared" si="110"/>
        <v>113185104</v>
      </c>
      <c r="DK100" s="29">
        <f t="shared" si="96"/>
        <v>113185104</v>
      </c>
      <c r="DL100" s="29">
        <f t="shared" si="97"/>
        <v>113185104</v>
      </c>
    </row>
    <row r="101" spans="1:116" ht="21" customHeight="1" x14ac:dyDescent="0.25">
      <c r="A101" s="248"/>
      <c r="B101" s="232"/>
      <c r="C101" s="69" t="s">
        <v>279</v>
      </c>
      <c r="D101" s="21" t="s">
        <v>280</v>
      </c>
      <c r="E101" s="22">
        <v>301</v>
      </c>
      <c r="F101" s="23" t="s">
        <v>281</v>
      </c>
      <c r="G101" s="24">
        <f t="shared" si="116"/>
        <v>0</v>
      </c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>
        <f>20000000-20000000</f>
        <v>0</v>
      </c>
      <c r="W101" s="24"/>
      <c r="X101" s="24"/>
      <c r="Y101" s="24"/>
      <c r="Z101" s="24"/>
      <c r="AA101" s="25" t="e">
        <f t="shared" si="117"/>
        <v>#DIV/0!</v>
      </c>
      <c r="AB101" s="24">
        <f t="shared" si="118"/>
        <v>0</v>
      </c>
      <c r="AC101" s="24"/>
      <c r="AD101" s="24"/>
      <c r="AE101" s="24"/>
      <c r="AF101" s="24"/>
      <c r="AG101" s="24"/>
      <c r="AH101" s="24"/>
      <c r="AI101" s="24"/>
      <c r="AJ101" s="24"/>
      <c r="AK101" s="24"/>
      <c r="AL101" s="24"/>
      <c r="AM101" s="24"/>
      <c r="AN101" s="24"/>
      <c r="AO101" s="24"/>
      <c r="AP101" s="24"/>
      <c r="AQ101" s="24"/>
      <c r="AR101" s="24"/>
      <c r="AS101" s="24"/>
      <c r="AT101" s="24"/>
      <c r="AU101" s="24"/>
      <c r="AV101" s="24"/>
      <c r="AW101" s="25" t="e">
        <f t="shared" si="119"/>
        <v>#DIV/0!</v>
      </c>
      <c r="AX101" s="24">
        <f t="shared" si="120"/>
        <v>0</v>
      </c>
      <c r="AY101" s="24">
        <f t="shared" si="121"/>
        <v>0</v>
      </c>
      <c r="AZ101" s="24">
        <f t="shared" si="121"/>
        <v>0</v>
      </c>
      <c r="BA101" s="24">
        <f t="shared" si="121"/>
        <v>0</v>
      </c>
      <c r="BB101" s="24">
        <f t="shared" si="122"/>
        <v>0</v>
      </c>
      <c r="BC101" s="24">
        <f t="shared" si="122"/>
        <v>0</v>
      </c>
      <c r="BD101" s="24">
        <f t="shared" si="122"/>
        <v>0</v>
      </c>
      <c r="BE101" s="24">
        <f t="shared" si="122"/>
        <v>0</v>
      </c>
      <c r="BF101" s="24">
        <f t="shared" si="122"/>
        <v>0</v>
      </c>
      <c r="BG101" s="24">
        <f t="shared" si="122"/>
        <v>0</v>
      </c>
      <c r="BH101" s="24">
        <f t="shared" si="122"/>
        <v>0</v>
      </c>
      <c r="BI101" s="24">
        <f t="shared" si="122"/>
        <v>0</v>
      </c>
      <c r="BJ101" s="24">
        <f t="shared" si="122"/>
        <v>0</v>
      </c>
      <c r="BK101" s="24">
        <f t="shared" si="122"/>
        <v>0</v>
      </c>
      <c r="BL101" s="24">
        <f t="shared" si="122"/>
        <v>0</v>
      </c>
      <c r="BM101" s="24">
        <f t="shared" si="122"/>
        <v>0</v>
      </c>
      <c r="BN101" s="24"/>
      <c r="BO101" s="24"/>
      <c r="BP101" s="24">
        <f t="shared" si="123"/>
        <v>0</v>
      </c>
      <c r="BQ101" s="24">
        <f t="shared" si="124"/>
        <v>0</v>
      </c>
      <c r="BR101" s="25" t="e">
        <f t="shared" si="125"/>
        <v>#DIV/0!</v>
      </c>
      <c r="BS101" s="24">
        <f t="shared" si="126"/>
        <v>0</v>
      </c>
      <c r="BT101" s="24"/>
      <c r="BU101" s="24"/>
      <c r="BV101" s="24"/>
      <c r="BW101" s="24"/>
      <c r="BX101" s="24"/>
      <c r="BY101" s="24"/>
      <c r="BZ101" s="24"/>
      <c r="CA101" s="24"/>
      <c r="CB101" s="24"/>
      <c r="CC101" s="24"/>
      <c r="CD101" s="24"/>
      <c r="CE101" s="24"/>
      <c r="CF101" s="24"/>
      <c r="CG101" s="24"/>
      <c r="CH101" s="24"/>
      <c r="CI101" s="24"/>
      <c r="CJ101" s="24"/>
      <c r="CK101" s="24"/>
      <c r="CL101" s="24"/>
      <c r="CM101" s="24"/>
      <c r="CN101" s="25" t="e">
        <f t="shared" si="127"/>
        <v>#DIV/0!</v>
      </c>
      <c r="CO101" s="24">
        <f t="shared" si="128"/>
        <v>0</v>
      </c>
      <c r="CP101" s="24">
        <f t="shared" si="129"/>
        <v>0</v>
      </c>
      <c r="CQ101" s="24">
        <f t="shared" si="129"/>
        <v>0</v>
      </c>
      <c r="CR101" s="24">
        <f t="shared" si="129"/>
        <v>0</v>
      </c>
      <c r="CS101" s="24">
        <f t="shared" si="129"/>
        <v>0</v>
      </c>
      <c r="CT101" s="24">
        <f t="shared" si="129"/>
        <v>0</v>
      </c>
      <c r="CU101" s="24">
        <f t="shared" si="129"/>
        <v>0</v>
      </c>
      <c r="CV101" s="24">
        <f t="shared" si="129"/>
        <v>0</v>
      </c>
      <c r="CW101" s="24">
        <f t="shared" si="129"/>
        <v>0</v>
      </c>
      <c r="CX101" s="24">
        <f t="shared" si="129"/>
        <v>0</v>
      </c>
      <c r="CY101" s="24">
        <f t="shared" si="131"/>
        <v>0</v>
      </c>
      <c r="CZ101" s="24">
        <f t="shared" si="131"/>
        <v>0</v>
      </c>
      <c r="DA101" s="24">
        <f t="shared" si="131"/>
        <v>0</v>
      </c>
      <c r="DB101" s="24">
        <f t="shared" si="132"/>
        <v>0</v>
      </c>
      <c r="DC101" s="24">
        <f t="shared" si="132"/>
        <v>0</v>
      </c>
      <c r="DD101" s="24">
        <f t="shared" si="132"/>
        <v>0</v>
      </c>
      <c r="DE101" s="24"/>
      <c r="DF101" s="24">
        <f t="shared" si="133"/>
        <v>0</v>
      </c>
      <c r="DG101" s="24">
        <f t="shared" si="133"/>
        <v>0</v>
      </c>
      <c r="DH101" s="24">
        <f t="shared" si="133"/>
        <v>0</v>
      </c>
      <c r="DJ101" s="29">
        <f t="shared" si="110"/>
        <v>0</v>
      </c>
      <c r="DK101" s="29">
        <f t="shared" si="96"/>
        <v>0</v>
      </c>
      <c r="DL101" s="29">
        <f t="shared" si="97"/>
        <v>0</v>
      </c>
    </row>
    <row r="102" spans="1:116" ht="32.25" customHeight="1" x14ac:dyDescent="0.25">
      <c r="A102" s="248"/>
      <c r="B102" s="233"/>
      <c r="C102" s="69" t="s">
        <v>282</v>
      </c>
      <c r="D102" s="21" t="s">
        <v>283</v>
      </c>
      <c r="E102" s="22">
        <v>301</v>
      </c>
      <c r="F102" s="23" t="s">
        <v>267</v>
      </c>
      <c r="G102" s="24">
        <f t="shared" si="116"/>
        <v>26000000</v>
      </c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>
        <v>26000000</v>
      </c>
      <c r="W102" s="24"/>
      <c r="X102" s="24"/>
      <c r="Y102" s="24"/>
      <c r="Z102" s="24"/>
      <c r="AA102" s="25">
        <f t="shared" si="117"/>
        <v>1</v>
      </c>
      <c r="AB102" s="24">
        <f t="shared" si="118"/>
        <v>26000000</v>
      </c>
      <c r="AC102" s="24"/>
      <c r="AD102" s="24"/>
      <c r="AE102" s="24"/>
      <c r="AF102" s="24"/>
      <c r="AG102" s="24"/>
      <c r="AH102" s="24"/>
      <c r="AI102" s="24"/>
      <c r="AJ102" s="24"/>
      <c r="AK102" s="24"/>
      <c r="AL102" s="24"/>
      <c r="AM102" s="24"/>
      <c r="AN102" s="24"/>
      <c r="AO102" s="24"/>
      <c r="AP102" s="24"/>
      <c r="AQ102" s="24"/>
      <c r="AR102" s="24">
        <f>+'[2]ENERO 2016'!$Z$190</f>
        <v>26000000</v>
      </c>
      <c r="AS102" s="24"/>
      <c r="AT102" s="24"/>
      <c r="AU102" s="24"/>
      <c r="AV102" s="24"/>
      <c r="AW102" s="25">
        <f t="shared" si="119"/>
        <v>0</v>
      </c>
      <c r="AX102" s="24">
        <f t="shared" si="120"/>
        <v>0</v>
      </c>
      <c r="AY102" s="24">
        <f t="shared" si="121"/>
        <v>0</v>
      </c>
      <c r="AZ102" s="24">
        <f t="shared" si="121"/>
        <v>0</v>
      </c>
      <c r="BA102" s="24">
        <f t="shared" si="121"/>
        <v>0</v>
      </c>
      <c r="BB102" s="24">
        <f t="shared" si="121"/>
        <v>0</v>
      </c>
      <c r="BC102" s="24">
        <f t="shared" si="121"/>
        <v>0</v>
      </c>
      <c r="BD102" s="24">
        <f t="shared" si="121"/>
        <v>0</v>
      </c>
      <c r="BE102" s="24">
        <f t="shared" si="121"/>
        <v>0</v>
      </c>
      <c r="BF102" s="24">
        <f t="shared" si="121"/>
        <v>0</v>
      </c>
      <c r="BG102" s="24">
        <f t="shared" si="121"/>
        <v>0</v>
      </c>
      <c r="BH102" s="24">
        <f t="shared" si="121"/>
        <v>0</v>
      </c>
      <c r="BI102" s="24">
        <f t="shared" si="121"/>
        <v>0</v>
      </c>
      <c r="BJ102" s="24">
        <f t="shared" si="121"/>
        <v>0</v>
      </c>
      <c r="BK102" s="24">
        <f t="shared" si="121"/>
        <v>0</v>
      </c>
      <c r="BL102" s="24">
        <f t="shared" si="121"/>
        <v>0</v>
      </c>
      <c r="BM102" s="24">
        <f t="shared" si="121"/>
        <v>0</v>
      </c>
      <c r="BN102" s="24"/>
      <c r="BO102" s="24">
        <f>X102-AT102</f>
        <v>0</v>
      </c>
      <c r="BP102" s="24">
        <f t="shared" si="123"/>
        <v>0</v>
      </c>
      <c r="BQ102" s="24">
        <f>Z102-AV102</f>
        <v>0</v>
      </c>
      <c r="BR102" s="25">
        <f t="shared" si="125"/>
        <v>0.79216442307692303</v>
      </c>
      <c r="BS102" s="24">
        <f t="shared" si="126"/>
        <v>20596275</v>
      </c>
      <c r="BT102" s="24"/>
      <c r="BU102" s="24"/>
      <c r="BV102" s="24"/>
      <c r="BW102" s="24"/>
      <c r="BX102" s="24"/>
      <c r="BY102" s="24"/>
      <c r="BZ102" s="24"/>
      <c r="CA102" s="24"/>
      <c r="CB102" s="24"/>
      <c r="CC102" s="24"/>
      <c r="CD102" s="24"/>
      <c r="CE102" s="24"/>
      <c r="CF102" s="24"/>
      <c r="CG102" s="24"/>
      <c r="CH102" s="24"/>
      <c r="CI102" s="24">
        <f>+'[1]SEPTIEMBRE 2016'!$H$890</f>
        <v>20596275</v>
      </c>
      <c r="CJ102" s="24"/>
      <c r="CK102" s="24"/>
      <c r="CL102" s="24"/>
      <c r="CM102" s="24"/>
      <c r="CN102" s="25">
        <f t="shared" si="127"/>
        <v>0.20783557692307697</v>
      </c>
      <c r="CO102" s="24">
        <f t="shared" si="128"/>
        <v>5403725</v>
      </c>
      <c r="CP102" s="24">
        <f t="shared" si="129"/>
        <v>0</v>
      </c>
      <c r="CQ102" s="24">
        <f t="shared" si="129"/>
        <v>0</v>
      </c>
      <c r="CR102" s="24">
        <f t="shared" si="129"/>
        <v>0</v>
      </c>
      <c r="CS102" s="24">
        <f t="shared" si="129"/>
        <v>0</v>
      </c>
      <c r="CT102" s="24">
        <f t="shared" si="129"/>
        <v>0</v>
      </c>
      <c r="CU102" s="24">
        <f t="shared" si="129"/>
        <v>0</v>
      </c>
      <c r="CV102" s="24">
        <f t="shared" si="129"/>
        <v>0</v>
      </c>
      <c r="CW102" s="24">
        <f t="shared" si="129"/>
        <v>0</v>
      </c>
      <c r="CX102" s="24">
        <f t="shared" si="129"/>
        <v>0</v>
      </c>
      <c r="CY102" s="24">
        <f t="shared" si="131"/>
        <v>0</v>
      </c>
      <c r="CZ102" s="24">
        <f t="shared" si="131"/>
        <v>0</v>
      </c>
      <c r="DA102" s="24">
        <f t="shared" si="131"/>
        <v>0</v>
      </c>
      <c r="DB102" s="24">
        <f>T102-CG102</f>
        <v>0</v>
      </c>
      <c r="DC102" s="24">
        <f>U102-CH102</f>
        <v>0</v>
      </c>
      <c r="DD102" s="24">
        <f>V102-CI102</f>
        <v>5403725</v>
      </c>
      <c r="DE102" s="24"/>
      <c r="DF102" s="24">
        <f>X102-CK102</f>
        <v>0</v>
      </c>
      <c r="DG102" s="24">
        <f>Y102-CL102</f>
        <v>0</v>
      </c>
      <c r="DH102" s="24">
        <f>Z102-CM102</f>
        <v>0</v>
      </c>
      <c r="DJ102" s="29">
        <f t="shared" si="110"/>
        <v>26000000</v>
      </c>
      <c r="DK102" s="29">
        <f t="shared" si="96"/>
        <v>26000000</v>
      </c>
      <c r="DL102" s="29">
        <f t="shared" si="97"/>
        <v>26000000</v>
      </c>
    </row>
    <row r="103" spans="1:116" ht="33" customHeight="1" x14ac:dyDescent="0.25">
      <c r="A103" s="248"/>
      <c r="B103" s="86" t="s">
        <v>284</v>
      </c>
      <c r="C103" s="87" t="s">
        <v>285</v>
      </c>
      <c r="D103" s="21" t="s">
        <v>286</v>
      </c>
      <c r="E103" s="31">
        <v>301</v>
      </c>
      <c r="F103" s="23" t="s">
        <v>287</v>
      </c>
      <c r="G103" s="24">
        <f t="shared" si="116"/>
        <v>491057893</v>
      </c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>
        <v>142057893</v>
      </c>
      <c r="V103" s="24">
        <f>322000000+20000000</f>
        <v>342000000</v>
      </c>
      <c r="W103" s="24"/>
      <c r="X103" s="24"/>
      <c r="Y103" s="24"/>
      <c r="Z103" s="24">
        <f>1000000+6000000</f>
        <v>7000000</v>
      </c>
      <c r="AA103" s="25">
        <f t="shared" si="117"/>
        <v>0.79488837378284438</v>
      </c>
      <c r="AB103" s="24">
        <f t="shared" si="118"/>
        <v>390336210</v>
      </c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>
        <f>+'[1]SEPTIEMBRE 2016'!$Y$902</f>
        <v>49883210</v>
      </c>
      <c r="AR103" s="24">
        <f>+'[1]SEPTIEMBRE 2016'!$Z$902</f>
        <v>340453000</v>
      </c>
      <c r="AS103" s="24"/>
      <c r="AT103" s="24"/>
      <c r="AU103" s="24"/>
      <c r="AV103" s="24"/>
      <c r="AW103" s="25">
        <f t="shared" si="119"/>
        <v>0.20511162621715562</v>
      </c>
      <c r="AX103" s="24">
        <f t="shared" si="120"/>
        <v>100721683</v>
      </c>
      <c r="AY103" s="24">
        <f t="shared" si="121"/>
        <v>0</v>
      </c>
      <c r="AZ103" s="24">
        <f t="shared" si="121"/>
        <v>0</v>
      </c>
      <c r="BA103" s="24">
        <f t="shared" si="121"/>
        <v>0</v>
      </c>
      <c r="BB103" s="24">
        <f t="shared" ref="BB103:BM109" si="134">+K103-AG103</f>
        <v>0</v>
      </c>
      <c r="BC103" s="24">
        <f t="shared" si="134"/>
        <v>0</v>
      </c>
      <c r="BD103" s="24">
        <f t="shared" si="134"/>
        <v>0</v>
      </c>
      <c r="BE103" s="24">
        <f t="shared" si="134"/>
        <v>0</v>
      </c>
      <c r="BF103" s="24">
        <f t="shared" si="134"/>
        <v>0</v>
      </c>
      <c r="BG103" s="24">
        <f t="shared" si="134"/>
        <v>0</v>
      </c>
      <c r="BH103" s="24">
        <f t="shared" si="134"/>
        <v>0</v>
      </c>
      <c r="BI103" s="24">
        <f t="shared" si="134"/>
        <v>0</v>
      </c>
      <c r="BJ103" s="24">
        <f t="shared" si="134"/>
        <v>0</v>
      </c>
      <c r="BK103" s="24">
        <f t="shared" si="134"/>
        <v>0</v>
      </c>
      <c r="BL103" s="24">
        <f t="shared" si="134"/>
        <v>92174683</v>
      </c>
      <c r="BM103" s="24">
        <f t="shared" si="134"/>
        <v>1547000</v>
      </c>
      <c r="BN103" s="24"/>
      <c r="BO103" s="24"/>
      <c r="BP103" s="24">
        <f t="shared" si="123"/>
        <v>0</v>
      </c>
      <c r="BQ103" s="24">
        <f t="shared" ref="BQ103:BQ109" si="135">+Z103-AV103</f>
        <v>7000000</v>
      </c>
      <c r="BR103" s="25">
        <f t="shared" si="125"/>
        <v>0.69829692972677659</v>
      </c>
      <c r="BS103" s="24">
        <f t="shared" si="126"/>
        <v>342904219</v>
      </c>
      <c r="BT103" s="24"/>
      <c r="BU103" s="24"/>
      <c r="BV103" s="24"/>
      <c r="BW103" s="24"/>
      <c r="BX103" s="24"/>
      <c r="BY103" s="24"/>
      <c r="BZ103" s="24"/>
      <c r="CA103" s="24"/>
      <c r="CB103" s="24"/>
      <c r="CC103" s="24"/>
      <c r="CD103" s="24"/>
      <c r="CE103" s="24"/>
      <c r="CF103" s="24"/>
      <c r="CG103" s="24"/>
      <c r="CH103" s="24">
        <f>+'[1]SEPTIEMBRE 2016'!$Y$958+'[1]SEPTIEMBRE 2016'!$H$961+'[1]SEPTIEMBRE 2016'!$H$962</f>
        <v>11701994</v>
      </c>
      <c r="CI103" s="24">
        <f>+'[1]SEPTIEMBRE 2016'!$H$900-CH103</f>
        <v>331202225</v>
      </c>
      <c r="CJ103" s="24"/>
      <c r="CK103" s="24"/>
      <c r="CL103" s="24"/>
      <c r="CM103" s="24"/>
      <c r="CN103" s="25">
        <f t="shared" si="127"/>
        <v>0.30170307027322341</v>
      </c>
      <c r="CO103" s="24">
        <f t="shared" si="128"/>
        <v>148153674</v>
      </c>
      <c r="CP103" s="24">
        <f t="shared" si="129"/>
        <v>0</v>
      </c>
      <c r="CQ103" s="24">
        <f t="shared" si="129"/>
        <v>0</v>
      </c>
      <c r="CR103" s="24">
        <f t="shared" si="129"/>
        <v>0</v>
      </c>
      <c r="CS103" s="24">
        <f t="shared" si="129"/>
        <v>0</v>
      </c>
      <c r="CT103" s="24">
        <f t="shared" si="129"/>
        <v>0</v>
      </c>
      <c r="CU103" s="24">
        <f t="shared" si="129"/>
        <v>0</v>
      </c>
      <c r="CV103" s="24">
        <f t="shared" ref="CV103:CW109" si="136">+N103-CA103</f>
        <v>0</v>
      </c>
      <c r="CW103" s="24">
        <f t="shared" si="136"/>
        <v>0</v>
      </c>
      <c r="CX103" s="24">
        <f t="shared" si="129"/>
        <v>0</v>
      </c>
      <c r="CY103" s="24">
        <f t="shared" si="131"/>
        <v>0</v>
      </c>
      <c r="CZ103" s="24">
        <f t="shared" si="131"/>
        <v>0</v>
      </c>
      <c r="DA103" s="24">
        <f t="shared" si="131"/>
        <v>0</v>
      </c>
      <c r="DB103" s="24">
        <f t="shared" ref="DB103:DD109" si="137">+T103-CG103</f>
        <v>0</v>
      </c>
      <c r="DC103" s="24">
        <f t="shared" si="137"/>
        <v>130355899</v>
      </c>
      <c r="DD103" s="24">
        <f t="shared" si="137"/>
        <v>10797775</v>
      </c>
      <c r="DE103" s="24"/>
      <c r="DF103" s="24">
        <f t="shared" ref="DF103:DH109" si="138">+X103-CK103</f>
        <v>0</v>
      </c>
      <c r="DG103" s="24">
        <f t="shared" si="138"/>
        <v>0</v>
      </c>
      <c r="DH103" s="24">
        <f t="shared" si="138"/>
        <v>7000000</v>
      </c>
      <c r="DJ103" s="29">
        <f t="shared" si="110"/>
        <v>491057893</v>
      </c>
      <c r="DK103" s="29">
        <f t="shared" si="96"/>
        <v>491057893</v>
      </c>
      <c r="DL103" s="29">
        <f t="shared" si="97"/>
        <v>491057893</v>
      </c>
    </row>
    <row r="104" spans="1:116" ht="54.75" customHeight="1" x14ac:dyDescent="0.25">
      <c r="A104" s="248"/>
      <c r="B104" s="88" t="s">
        <v>288</v>
      </c>
      <c r="C104" s="69" t="s">
        <v>289</v>
      </c>
      <c r="D104" s="21" t="s">
        <v>290</v>
      </c>
      <c r="E104" s="22">
        <v>301</v>
      </c>
      <c r="F104" s="23" t="s">
        <v>291</v>
      </c>
      <c r="G104" s="24">
        <f t="shared" si="116"/>
        <v>329125485</v>
      </c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>
        <v>316000000</v>
      </c>
      <c r="W104" s="24"/>
      <c r="X104" s="24"/>
      <c r="Y104" s="24"/>
      <c r="Z104" s="24">
        <f>6000000+1000000+2425485+1700000+2000000</f>
        <v>13125485</v>
      </c>
      <c r="AA104" s="25">
        <f t="shared" si="117"/>
        <v>0.77968701512129945</v>
      </c>
      <c r="AB104" s="24">
        <f t="shared" si="118"/>
        <v>256614867</v>
      </c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>
        <f>+'[1]SEPTIEMBRE 2016'!$Z$973</f>
        <v>250489382</v>
      </c>
      <c r="AS104" s="24"/>
      <c r="AT104" s="24"/>
      <c r="AU104" s="24"/>
      <c r="AV104" s="24">
        <f>+'[4]AGOSTO 2016'!$AG$812</f>
        <v>6125485</v>
      </c>
      <c r="AW104" s="25">
        <f t="shared" si="119"/>
        <v>0.22031298487870055</v>
      </c>
      <c r="AX104" s="24">
        <f t="shared" si="120"/>
        <v>72510618</v>
      </c>
      <c r="AY104" s="24">
        <f t="shared" si="121"/>
        <v>0</v>
      </c>
      <c r="AZ104" s="24">
        <f t="shared" si="121"/>
        <v>0</v>
      </c>
      <c r="BA104" s="24">
        <f t="shared" si="121"/>
        <v>0</v>
      </c>
      <c r="BB104" s="24">
        <f t="shared" si="134"/>
        <v>0</v>
      </c>
      <c r="BC104" s="24">
        <f t="shared" si="134"/>
        <v>0</v>
      </c>
      <c r="BD104" s="24">
        <f t="shared" si="134"/>
        <v>0</v>
      </c>
      <c r="BE104" s="24">
        <f t="shared" si="134"/>
        <v>0</v>
      </c>
      <c r="BF104" s="24">
        <f t="shared" si="134"/>
        <v>0</v>
      </c>
      <c r="BG104" s="24">
        <f t="shared" si="134"/>
        <v>0</v>
      </c>
      <c r="BH104" s="24">
        <f t="shared" si="134"/>
        <v>0</v>
      </c>
      <c r="BI104" s="24">
        <f t="shared" si="134"/>
        <v>0</v>
      </c>
      <c r="BJ104" s="24">
        <f t="shared" si="134"/>
        <v>0</v>
      </c>
      <c r="BK104" s="24">
        <f t="shared" si="134"/>
        <v>0</v>
      </c>
      <c r="BL104" s="24">
        <f t="shared" si="134"/>
        <v>0</v>
      </c>
      <c r="BM104" s="24">
        <f t="shared" si="134"/>
        <v>65510618</v>
      </c>
      <c r="BN104" s="24"/>
      <c r="BO104" s="24"/>
      <c r="BP104" s="24">
        <f t="shared" si="123"/>
        <v>0</v>
      </c>
      <c r="BQ104" s="24">
        <f t="shared" si="135"/>
        <v>7000000</v>
      </c>
      <c r="BR104" s="25">
        <f t="shared" si="125"/>
        <v>0.63399480292448329</v>
      </c>
      <c r="BS104" s="24">
        <f t="shared" si="126"/>
        <v>208663847</v>
      </c>
      <c r="BT104" s="24"/>
      <c r="BU104" s="24"/>
      <c r="BV104" s="24"/>
      <c r="BW104" s="24"/>
      <c r="BX104" s="24"/>
      <c r="BY104" s="24"/>
      <c r="BZ104" s="24"/>
      <c r="CA104" s="24"/>
      <c r="CB104" s="24"/>
      <c r="CC104" s="24"/>
      <c r="CD104" s="24"/>
      <c r="CE104" s="24"/>
      <c r="CF104" s="24"/>
      <c r="CG104" s="24"/>
      <c r="CH104" s="24"/>
      <c r="CI104" s="24">
        <f>'[1]SEPTIEMBRE 2016'!$H$971-CM104</f>
        <v>202631882</v>
      </c>
      <c r="CJ104" s="24"/>
      <c r="CK104" s="24"/>
      <c r="CL104" s="24"/>
      <c r="CM104" s="24">
        <f>+'[1]SEPTIEMBRE 2016'!$H$1025+'[1]SEPTIEMBRE 2016'!$H$1011+'[1]SEPTIEMBRE 2016'!$H$1001+'[1]SEPTIEMBRE 2016'!$H$992+'[1]SEPTIEMBRE 2016'!$H$991</f>
        <v>6031965</v>
      </c>
      <c r="CN104" s="25">
        <f t="shared" si="127"/>
        <v>0.36600519707551671</v>
      </c>
      <c r="CO104" s="24">
        <f t="shared" si="128"/>
        <v>120461638</v>
      </c>
      <c r="CP104" s="24">
        <f t="shared" si="129"/>
        <v>0</v>
      </c>
      <c r="CQ104" s="24">
        <f t="shared" si="129"/>
        <v>0</v>
      </c>
      <c r="CR104" s="24">
        <f t="shared" si="129"/>
        <v>0</v>
      </c>
      <c r="CS104" s="24">
        <f t="shared" si="129"/>
        <v>0</v>
      </c>
      <c r="CT104" s="24">
        <f t="shared" si="129"/>
        <v>0</v>
      </c>
      <c r="CU104" s="24">
        <f t="shared" si="129"/>
        <v>0</v>
      </c>
      <c r="CV104" s="24">
        <f t="shared" si="136"/>
        <v>0</v>
      </c>
      <c r="CW104" s="24">
        <f t="shared" si="136"/>
        <v>0</v>
      </c>
      <c r="CX104" s="24">
        <f t="shared" si="129"/>
        <v>0</v>
      </c>
      <c r="CY104" s="24">
        <f t="shared" si="131"/>
        <v>0</v>
      </c>
      <c r="CZ104" s="24">
        <f t="shared" si="131"/>
        <v>0</v>
      </c>
      <c r="DA104" s="24">
        <f t="shared" si="131"/>
        <v>0</v>
      </c>
      <c r="DB104" s="24">
        <f t="shared" si="137"/>
        <v>0</v>
      </c>
      <c r="DC104" s="24">
        <f t="shared" si="137"/>
        <v>0</v>
      </c>
      <c r="DD104" s="24">
        <f t="shared" si="137"/>
        <v>113368118</v>
      </c>
      <c r="DE104" s="24"/>
      <c r="DF104" s="24">
        <f t="shared" si="138"/>
        <v>0</v>
      </c>
      <c r="DG104" s="24">
        <f t="shared" si="138"/>
        <v>0</v>
      </c>
      <c r="DH104" s="24">
        <f t="shared" si="138"/>
        <v>7093520</v>
      </c>
      <c r="DJ104" s="29">
        <f t="shared" si="110"/>
        <v>329125485</v>
      </c>
      <c r="DK104" s="29">
        <f t="shared" si="96"/>
        <v>329125485</v>
      </c>
      <c r="DL104" s="29">
        <f t="shared" si="97"/>
        <v>329125485</v>
      </c>
    </row>
    <row r="105" spans="1:116" ht="42" customHeight="1" x14ac:dyDescent="0.25">
      <c r="A105" s="248"/>
      <c r="B105" s="88" t="s">
        <v>292</v>
      </c>
      <c r="C105" s="69" t="s">
        <v>293</v>
      </c>
      <c r="D105" s="21" t="s">
        <v>294</v>
      </c>
      <c r="E105" s="22">
        <v>301</v>
      </c>
      <c r="F105" s="23" t="s">
        <v>295</v>
      </c>
      <c r="G105" s="24">
        <f t="shared" si="116"/>
        <v>52155066</v>
      </c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>
        <f>67000000-30600000</f>
        <v>36400000</v>
      </c>
      <c r="W105" s="24"/>
      <c r="X105" s="24"/>
      <c r="Y105" s="24"/>
      <c r="Z105" s="24">
        <f>2000000+2682410+1000000+257590+3915066+900000+5000000</f>
        <v>15755066</v>
      </c>
      <c r="AA105" s="25">
        <f t="shared" si="117"/>
        <v>0.3723511729426246</v>
      </c>
      <c r="AB105" s="24">
        <f t="shared" si="118"/>
        <v>19420000</v>
      </c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>
        <f>+'[6]JUNIO 2016'!$Z$626</f>
        <v>17580000</v>
      </c>
      <c r="AS105" s="24"/>
      <c r="AT105" s="24"/>
      <c r="AU105" s="24"/>
      <c r="AV105" s="24">
        <f>+'[6]JUNIO 2016'!$AG$626</f>
        <v>1840000</v>
      </c>
      <c r="AW105" s="25">
        <f t="shared" si="119"/>
        <v>0.62764882705737546</v>
      </c>
      <c r="AX105" s="24">
        <f t="shared" si="120"/>
        <v>32735066</v>
      </c>
      <c r="AY105" s="24">
        <f t="shared" si="121"/>
        <v>0</v>
      </c>
      <c r="AZ105" s="24">
        <f t="shared" si="121"/>
        <v>0</v>
      </c>
      <c r="BA105" s="24">
        <f t="shared" si="121"/>
        <v>0</v>
      </c>
      <c r="BB105" s="24">
        <f t="shared" si="134"/>
        <v>0</v>
      </c>
      <c r="BC105" s="24">
        <f t="shared" si="134"/>
        <v>0</v>
      </c>
      <c r="BD105" s="24">
        <f t="shared" si="134"/>
        <v>0</v>
      </c>
      <c r="BE105" s="24">
        <f t="shared" si="134"/>
        <v>0</v>
      </c>
      <c r="BF105" s="24">
        <f t="shared" si="134"/>
        <v>0</v>
      </c>
      <c r="BG105" s="24">
        <f t="shared" si="134"/>
        <v>0</v>
      </c>
      <c r="BH105" s="24">
        <f t="shared" si="134"/>
        <v>0</v>
      </c>
      <c r="BI105" s="24">
        <f t="shared" si="134"/>
        <v>0</v>
      </c>
      <c r="BJ105" s="24">
        <f t="shared" si="134"/>
        <v>0</v>
      </c>
      <c r="BK105" s="24">
        <f t="shared" si="134"/>
        <v>0</v>
      </c>
      <c r="BL105" s="24">
        <f t="shared" si="134"/>
        <v>0</v>
      </c>
      <c r="BM105" s="24">
        <f t="shared" si="134"/>
        <v>18820000</v>
      </c>
      <c r="BN105" s="24"/>
      <c r="BO105" s="24"/>
      <c r="BP105" s="24">
        <f t="shared" si="123"/>
        <v>0</v>
      </c>
      <c r="BQ105" s="24">
        <f t="shared" si="135"/>
        <v>13915066</v>
      </c>
      <c r="BR105" s="25">
        <f t="shared" si="125"/>
        <v>0.3723511729426246</v>
      </c>
      <c r="BS105" s="24">
        <f t="shared" si="126"/>
        <v>19420000</v>
      </c>
      <c r="BT105" s="24"/>
      <c r="BU105" s="24"/>
      <c r="BV105" s="24"/>
      <c r="BW105" s="24"/>
      <c r="BX105" s="24"/>
      <c r="BY105" s="24"/>
      <c r="BZ105" s="24"/>
      <c r="CA105" s="24"/>
      <c r="CB105" s="24"/>
      <c r="CC105" s="24"/>
      <c r="CD105" s="24"/>
      <c r="CE105" s="24"/>
      <c r="CF105" s="24"/>
      <c r="CG105" s="24"/>
      <c r="CH105" s="24"/>
      <c r="CI105" s="24">
        <f>+'[6]JUNIO 2016'!$H$629</f>
        <v>17580000</v>
      </c>
      <c r="CJ105" s="24"/>
      <c r="CK105" s="24"/>
      <c r="CL105" s="24"/>
      <c r="CM105" s="24">
        <f>+'[6]JUNIO 2016'!$H$627+'[6]JUNIO 2016'!$H$628+'[6]JUNIO 2016'!$H$631</f>
        <v>1840000</v>
      </c>
      <c r="CN105" s="25">
        <f t="shared" si="127"/>
        <v>0.62764882705737546</v>
      </c>
      <c r="CO105" s="24">
        <f t="shared" si="128"/>
        <v>32735066</v>
      </c>
      <c r="CP105" s="24">
        <f t="shared" si="129"/>
        <v>0</v>
      </c>
      <c r="CQ105" s="24">
        <f t="shared" si="129"/>
        <v>0</v>
      </c>
      <c r="CR105" s="24">
        <f t="shared" si="129"/>
        <v>0</v>
      </c>
      <c r="CS105" s="24">
        <f t="shared" si="129"/>
        <v>0</v>
      </c>
      <c r="CT105" s="24">
        <f t="shared" si="129"/>
        <v>0</v>
      </c>
      <c r="CU105" s="24">
        <f t="shared" si="129"/>
        <v>0</v>
      </c>
      <c r="CV105" s="24">
        <f t="shared" si="136"/>
        <v>0</v>
      </c>
      <c r="CW105" s="24">
        <f t="shared" si="136"/>
        <v>0</v>
      </c>
      <c r="CX105" s="24">
        <f t="shared" si="129"/>
        <v>0</v>
      </c>
      <c r="CY105" s="24">
        <f t="shared" si="131"/>
        <v>0</v>
      </c>
      <c r="CZ105" s="24">
        <f t="shared" si="131"/>
        <v>0</v>
      </c>
      <c r="DA105" s="24">
        <f t="shared" si="131"/>
        <v>0</v>
      </c>
      <c r="DB105" s="24">
        <f t="shared" si="137"/>
        <v>0</v>
      </c>
      <c r="DC105" s="24">
        <f t="shared" si="137"/>
        <v>0</v>
      </c>
      <c r="DD105" s="24">
        <f t="shared" si="137"/>
        <v>18820000</v>
      </c>
      <c r="DE105" s="24"/>
      <c r="DF105" s="24">
        <f t="shared" si="138"/>
        <v>0</v>
      </c>
      <c r="DG105" s="24">
        <f t="shared" si="138"/>
        <v>0</v>
      </c>
      <c r="DH105" s="24">
        <f t="shared" si="138"/>
        <v>13915066</v>
      </c>
      <c r="DJ105" s="29">
        <f t="shared" si="110"/>
        <v>52155066</v>
      </c>
      <c r="DK105" s="29">
        <f t="shared" si="96"/>
        <v>52155066</v>
      </c>
      <c r="DL105" s="29">
        <f t="shared" si="97"/>
        <v>52155066</v>
      </c>
    </row>
    <row r="106" spans="1:116" ht="33" customHeight="1" x14ac:dyDescent="0.25">
      <c r="A106" s="248"/>
      <c r="B106" s="231" t="s">
        <v>296</v>
      </c>
      <c r="C106" s="69" t="s">
        <v>297</v>
      </c>
      <c r="D106" s="21" t="s">
        <v>298</v>
      </c>
      <c r="E106" s="22">
        <v>301</v>
      </c>
      <c r="F106" s="23" t="s">
        <v>267</v>
      </c>
      <c r="G106" s="24">
        <f t="shared" si="116"/>
        <v>1317000000</v>
      </c>
      <c r="H106" s="24">
        <v>200000000</v>
      </c>
      <c r="I106" s="24">
        <v>268168096</v>
      </c>
      <c r="J106" s="24"/>
      <c r="K106" s="24">
        <v>701280247</v>
      </c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>
        <f>102551657+22000000+23000000</f>
        <v>147551657</v>
      </c>
      <c r="W106" s="24"/>
      <c r="X106" s="24"/>
      <c r="Y106" s="24"/>
      <c r="Z106" s="24"/>
      <c r="AA106" s="25">
        <f t="shared" si="117"/>
        <v>0.99726176385725129</v>
      </c>
      <c r="AB106" s="24">
        <f t="shared" si="118"/>
        <v>1313393743</v>
      </c>
      <c r="AC106" s="24"/>
      <c r="AD106" s="24">
        <f>+'[1]SEPTIEMBRE 2016'!$K$1045</f>
        <v>198408143</v>
      </c>
      <c r="AE106" s="24">
        <f>+'[2]ENERO 2016'!$M$218</f>
        <v>268168096</v>
      </c>
      <c r="AF106" s="24"/>
      <c r="AG106" s="24">
        <f>+'[2]ENERO 2016'!$O$218</f>
        <v>701280247</v>
      </c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>
        <f>+'[1]SEPTIEMBRE 2016'!$Z$1045</f>
        <v>145537257</v>
      </c>
      <c r="AS106" s="24"/>
      <c r="AT106" s="24"/>
      <c r="AU106" s="24"/>
      <c r="AV106" s="24"/>
      <c r="AW106" s="25">
        <f t="shared" si="119"/>
        <v>2.7382361427487067E-3</v>
      </c>
      <c r="AX106" s="24">
        <f t="shared" si="120"/>
        <v>3606257</v>
      </c>
      <c r="AY106" s="24">
        <f t="shared" si="121"/>
        <v>1591857</v>
      </c>
      <c r="AZ106" s="24">
        <f t="shared" si="121"/>
        <v>0</v>
      </c>
      <c r="BA106" s="24">
        <f t="shared" si="121"/>
        <v>0</v>
      </c>
      <c r="BB106" s="24">
        <f t="shared" si="134"/>
        <v>0</v>
      </c>
      <c r="BC106" s="24">
        <f t="shared" si="134"/>
        <v>0</v>
      </c>
      <c r="BD106" s="24">
        <f t="shared" si="134"/>
        <v>0</v>
      </c>
      <c r="BE106" s="24">
        <f t="shared" si="134"/>
        <v>0</v>
      </c>
      <c r="BF106" s="24">
        <f t="shared" si="134"/>
        <v>0</v>
      </c>
      <c r="BG106" s="24">
        <f t="shared" si="134"/>
        <v>0</v>
      </c>
      <c r="BH106" s="24">
        <f t="shared" si="134"/>
        <v>0</v>
      </c>
      <c r="BI106" s="24">
        <f t="shared" si="134"/>
        <v>0</v>
      </c>
      <c r="BJ106" s="24">
        <f t="shared" si="134"/>
        <v>0</v>
      </c>
      <c r="BK106" s="24">
        <f t="shared" si="134"/>
        <v>0</v>
      </c>
      <c r="BL106" s="24">
        <f t="shared" si="134"/>
        <v>0</v>
      </c>
      <c r="BM106" s="24">
        <f t="shared" si="134"/>
        <v>2014400</v>
      </c>
      <c r="BN106" s="24"/>
      <c r="BO106" s="24"/>
      <c r="BP106" s="24">
        <f t="shared" si="123"/>
        <v>0</v>
      </c>
      <c r="BQ106" s="24">
        <f t="shared" si="135"/>
        <v>0</v>
      </c>
      <c r="BR106" s="25">
        <f t="shared" si="125"/>
        <v>0.99726176385725129</v>
      </c>
      <c r="BS106" s="24">
        <f t="shared" si="126"/>
        <v>1313393743</v>
      </c>
      <c r="BT106" s="24"/>
      <c r="BU106" s="24">
        <f>+'[4]AGOSTO 2016'!$H$881</f>
        <v>198408143</v>
      </c>
      <c r="BV106" s="24">
        <v>268168096</v>
      </c>
      <c r="BW106" s="24"/>
      <c r="BX106" s="24">
        <v>701280247</v>
      </c>
      <c r="BY106" s="24"/>
      <c r="BZ106" s="24"/>
      <c r="CA106" s="24"/>
      <c r="CB106" s="24"/>
      <c r="CC106" s="24"/>
      <c r="CD106" s="24"/>
      <c r="CE106" s="24"/>
      <c r="CF106" s="24"/>
      <c r="CG106" s="24"/>
      <c r="CH106" s="24"/>
      <c r="CI106" s="24">
        <f>'[1]SEPTIEMBRE 2016'!$H$1057+'[1]SEPTIEMBRE 2016'!$H$1060+'[1]SEPTIEMBRE 2016'!$H$1062</f>
        <v>145537257</v>
      </c>
      <c r="CJ106" s="24"/>
      <c r="CK106" s="24"/>
      <c r="CL106" s="24"/>
      <c r="CM106" s="24"/>
      <c r="CN106" s="25">
        <f t="shared" si="127"/>
        <v>2.7382361427487067E-3</v>
      </c>
      <c r="CO106" s="24">
        <f t="shared" si="128"/>
        <v>3606257</v>
      </c>
      <c r="CP106" s="24">
        <f t="shared" si="129"/>
        <v>1591857</v>
      </c>
      <c r="CQ106" s="24">
        <f t="shared" si="129"/>
        <v>0</v>
      </c>
      <c r="CR106" s="24">
        <f t="shared" si="129"/>
        <v>0</v>
      </c>
      <c r="CS106" s="24">
        <f t="shared" si="129"/>
        <v>0</v>
      </c>
      <c r="CT106" s="24">
        <f t="shared" si="129"/>
        <v>0</v>
      </c>
      <c r="CU106" s="24">
        <f t="shared" si="129"/>
        <v>0</v>
      </c>
      <c r="CV106" s="24">
        <f t="shared" si="136"/>
        <v>0</v>
      </c>
      <c r="CW106" s="24">
        <f t="shared" si="136"/>
        <v>0</v>
      </c>
      <c r="CX106" s="24">
        <f t="shared" si="129"/>
        <v>0</v>
      </c>
      <c r="CY106" s="24">
        <f t="shared" si="131"/>
        <v>0</v>
      </c>
      <c r="CZ106" s="24">
        <f t="shared" si="131"/>
        <v>0</v>
      </c>
      <c r="DA106" s="24">
        <f t="shared" si="131"/>
        <v>0</v>
      </c>
      <c r="DB106" s="24">
        <f t="shared" si="137"/>
        <v>0</v>
      </c>
      <c r="DC106" s="24">
        <f t="shared" si="137"/>
        <v>0</v>
      </c>
      <c r="DD106" s="24">
        <f t="shared" si="137"/>
        <v>2014400</v>
      </c>
      <c r="DE106" s="24"/>
      <c r="DF106" s="24">
        <f t="shared" si="138"/>
        <v>0</v>
      </c>
      <c r="DG106" s="24">
        <f t="shared" si="138"/>
        <v>0</v>
      </c>
      <c r="DH106" s="24">
        <f t="shared" si="138"/>
        <v>0</v>
      </c>
      <c r="DJ106" s="29">
        <f t="shared" si="110"/>
        <v>1317000000</v>
      </c>
      <c r="DK106" s="29">
        <f t="shared" si="96"/>
        <v>1317000000</v>
      </c>
      <c r="DL106" s="29">
        <f t="shared" si="97"/>
        <v>1317000000</v>
      </c>
    </row>
    <row r="107" spans="1:116" ht="38.25" customHeight="1" x14ac:dyDescent="0.25">
      <c r="A107" s="248"/>
      <c r="B107" s="232"/>
      <c r="C107" s="69" t="s">
        <v>299</v>
      </c>
      <c r="D107" s="21" t="s">
        <v>300</v>
      </c>
      <c r="E107" s="22">
        <v>301</v>
      </c>
      <c r="F107" s="23" t="s">
        <v>267</v>
      </c>
      <c r="G107" s="24">
        <f t="shared" si="116"/>
        <v>20000000</v>
      </c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>
        <v>20000000</v>
      </c>
      <c r="W107" s="24"/>
      <c r="X107" s="24"/>
      <c r="Y107" s="24"/>
      <c r="Z107" s="24"/>
      <c r="AA107" s="25">
        <f t="shared" si="117"/>
        <v>1</v>
      </c>
      <c r="AB107" s="24">
        <f t="shared" si="118"/>
        <v>20000000</v>
      </c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>
        <f>+'[2]ENERO 2016'!$Z$227</f>
        <v>20000000</v>
      </c>
      <c r="AS107" s="24"/>
      <c r="AT107" s="24"/>
      <c r="AU107" s="24"/>
      <c r="AV107" s="24"/>
      <c r="AW107" s="25">
        <f t="shared" si="119"/>
        <v>0</v>
      </c>
      <c r="AX107" s="24">
        <f t="shared" si="120"/>
        <v>0</v>
      </c>
      <c r="AY107" s="24">
        <f t="shared" si="121"/>
        <v>0</v>
      </c>
      <c r="AZ107" s="24">
        <f t="shared" si="121"/>
        <v>0</v>
      </c>
      <c r="BA107" s="24">
        <f t="shared" si="121"/>
        <v>0</v>
      </c>
      <c r="BB107" s="24">
        <f t="shared" si="134"/>
        <v>0</v>
      </c>
      <c r="BC107" s="24">
        <f t="shared" si="134"/>
        <v>0</v>
      </c>
      <c r="BD107" s="24">
        <f t="shared" si="134"/>
        <v>0</v>
      </c>
      <c r="BE107" s="24">
        <f t="shared" si="134"/>
        <v>0</v>
      </c>
      <c r="BF107" s="24">
        <f t="shared" si="134"/>
        <v>0</v>
      </c>
      <c r="BG107" s="24">
        <f t="shared" si="134"/>
        <v>0</v>
      </c>
      <c r="BH107" s="24">
        <f t="shared" si="134"/>
        <v>0</v>
      </c>
      <c r="BI107" s="24">
        <f t="shared" si="134"/>
        <v>0</v>
      </c>
      <c r="BJ107" s="24">
        <f t="shared" si="134"/>
        <v>0</v>
      </c>
      <c r="BK107" s="24">
        <f t="shared" si="134"/>
        <v>0</v>
      </c>
      <c r="BL107" s="24">
        <f t="shared" si="134"/>
        <v>0</v>
      </c>
      <c r="BM107" s="24">
        <f t="shared" si="134"/>
        <v>0</v>
      </c>
      <c r="BN107" s="24"/>
      <c r="BO107" s="24"/>
      <c r="BP107" s="24">
        <f t="shared" si="123"/>
        <v>0</v>
      </c>
      <c r="BQ107" s="24">
        <f t="shared" si="135"/>
        <v>0</v>
      </c>
      <c r="BR107" s="25">
        <f t="shared" si="125"/>
        <v>0.95945619999999998</v>
      </c>
      <c r="BS107" s="24">
        <f t="shared" si="126"/>
        <v>19189124</v>
      </c>
      <c r="BT107" s="24"/>
      <c r="BU107" s="24"/>
      <c r="BV107" s="24"/>
      <c r="BW107" s="24"/>
      <c r="BX107" s="24"/>
      <c r="BY107" s="24"/>
      <c r="BZ107" s="24"/>
      <c r="CA107" s="24"/>
      <c r="CB107" s="24"/>
      <c r="CC107" s="24"/>
      <c r="CD107" s="24"/>
      <c r="CE107" s="24"/>
      <c r="CF107" s="24"/>
      <c r="CG107" s="24"/>
      <c r="CH107" s="24"/>
      <c r="CI107" s="24">
        <f>+'[4]AGOSTO 2016'!$H$899</f>
        <v>19189124</v>
      </c>
      <c r="CJ107" s="24"/>
      <c r="CK107" s="24"/>
      <c r="CL107" s="24"/>
      <c r="CM107" s="24"/>
      <c r="CN107" s="25">
        <f t="shared" si="127"/>
        <v>4.0543800000000019E-2</v>
      </c>
      <c r="CO107" s="24">
        <f t="shared" si="128"/>
        <v>810876</v>
      </c>
      <c r="CP107" s="24">
        <f t="shared" si="129"/>
        <v>0</v>
      </c>
      <c r="CQ107" s="24">
        <f t="shared" si="129"/>
        <v>0</v>
      </c>
      <c r="CR107" s="24">
        <f t="shared" si="129"/>
        <v>0</v>
      </c>
      <c r="CS107" s="24">
        <f t="shared" si="129"/>
        <v>0</v>
      </c>
      <c r="CT107" s="24">
        <f t="shared" si="129"/>
        <v>0</v>
      </c>
      <c r="CU107" s="24">
        <f t="shared" si="129"/>
        <v>0</v>
      </c>
      <c r="CV107" s="24">
        <f t="shared" si="136"/>
        <v>0</v>
      </c>
      <c r="CW107" s="24">
        <f t="shared" si="136"/>
        <v>0</v>
      </c>
      <c r="CX107" s="24">
        <f t="shared" si="129"/>
        <v>0</v>
      </c>
      <c r="CY107" s="24">
        <f t="shared" si="131"/>
        <v>0</v>
      </c>
      <c r="CZ107" s="24">
        <f t="shared" si="131"/>
        <v>0</v>
      </c>
      <c r="DA107" s="24">
        <f t="shared" si="131"/>
        <v>0</v>
      </c>
      <c r="DB107" s="24">
        <f t="shared" si="137"/>
        <v>0</v>
      </c>
      <c r="DC107" s="24">
        <f t="shared" si="137"/>
        <v>0</v>
      </c>
      <c r="DD107" s="24">
        <f t="shared" si="137"/>
        <v>810876</v>
      </c>
      <c r="DE107" s="24"/>
      <c r="DF107" s="24">
        <f t="shared" si="138"/>
        <v>0</v>
      </c>
      <c r="DG107" s="24">
        <f t="shared" si="138"/>
        <v>0</v>
      </c>
      <c r="DH107" s="24">
        <f t="shared" si="138"/>
        <v>0</v>
      </c>
      <c r="DJ107" s="29">
        <f t="shared" si="110"/>
        <v>20000000</v>
      </c>
      <c r="DK107" s="29">
        <f t="shared" si="96"/>
        <v>20000000</v>
      </c>
      <c r="DL107" s="29">
        <f t="shared" si="97"/>
        <v>20000000</v>
      </c>
    </row>
    <row r="108" spans="1:116" ht="24.75" customHeight="1" x14ac:dyDescent="0.25">
      <c r="A108" s="248"/>
      <c r="B108" s="233"/>
      <c r="C108" s="69" t="s">
        <v>301</v>
      </c>
      <c r="D108" s="21" t="s">
        <v>302</v>
      </c>
      <c r="E108" s="89">
        <v>301</v>
      </c>
      <c r="F108" s="23" t="s">
        <v>267</v>
      </c>
      <c r="G108" s="24">
        <f t="shared" si="116"/>
        <v>100000000</v>
      </c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>
        <v>100000000</v>
      </c>
      <c r="W108" s="24"/>
      <c r="X108" s="24"/>
      <c r="Y108" s="24"/>
      <c r="Z108" s="24"/>
      <c r="AA108" s="25">
        <f t="shared" si="117"/>
        <v>1</v>
      </c>
      <c r="AB108" s="24">
        <f t="shared" si="118"/>
        <v>100000000</v>
      </c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>
        <f>+'[8]ABRIL 2016'!$Z$480</f>
        <v>100000000</v>
      </c>
      <c r="AS108" s="24"/>
      <c r="AT108" s="24"/>
      <c r="AU108" s="24"/>
      <c r="AV108" s="24"/>
      <c r="AW108" s="25">
        <f t="shared" si="119"/>
        <v>0</v>
      </c>
      <c r="AX108" s="24">
        <f t="shared" si="120"/>
        <v>0</v>
      </c>
      <c r="AY108" s="24">
        <f t="shared" si="121"/>
        <v>0</v>
      </c>
      <c r="AZ108" s="24">
        <f t="shared" si="121"/>
        <v>0</v>
      </c>
      <c r="BA108" s="24">
        <f t="shared" si="121"/>
        <v>0</v>
      </c>
      <c r="BB108" s="24">
        <f t="shared" si="134"/>
        <v>0</v>
      </c>
      <c r="BC108" s="24">
        <f t="shared" si="134"/>
        <v>0</v>
      </c>
      <c r="BD108" s="24">
        <f t="shared" si="134"/>
        <v>0</v>
      </c>
      <c r="BE108" s="24">
        <f t="shared" si="134"/>
        <v>0</v>
      </c>
      <c r="BF108" s="24">
        <f t="shared" si="134"/>
        <v>0</v>
      </c>
      <c r="BG108" s="24">
        <f t="shared" si="134"/>
        <v>0</v>
      </c>
      <c r="BH108" s="24">
        <f t="shared" si="134"/>
        <v>0</v>
      </c>
      <c r="BI108" s="24">
        <f t="shared" si="134"/>
        <v>0</v>
      </c>
      <c r="BJ108" s="24">
        <f t="shared" si="134"/>
        <v>0</v>
      </c>
      <c r="BK108" s="24">
        <f t="shared" si="134"/>
        <v>0</v>
      </c>
      <c r="BL108" s="24">
        <f t="shared" si="134"/>
        <v>0</v>
      </c>
      <c r="BM108" s="24">
        <f t="shared" si="134"/>
        <v>0</v>
      </c>
      <c r="BN108" s="24"/>
      <c r="BO108" s="24"/>
      <c r="BP108" s="24">
        <f t="shared" si="123"/>
        <v>0</v>
      </c>
      <c r="BQ108" s="24">
        <f t="shared" si="135"/>
        <v>0</v>
      </c>
      <c r="BR108" s="25">
        <f t="shared" si="125"/>
        <v>0.97925450999999997</v>
      </c>
      <c r="BS108" s="24">
        <f t="shared" si="126"/>
        <v>97925451</v>
      </c>
      <c r="BT108" s="24"/>
      <c r="BU108" s="24"/>
      <c r="BV108" s="24"/>
      <c r="BW108" s="24"/>
      <c r="BX108" s="24"/>
      <c r="BY108" s="24"/>
      <c r="BZ108" s="24"/>
      <c r="CA108" s="24"/>
      <c r="CB108" s="24"/>
      <c r="CC108" s="24"/>
      <c r="CD108" s="24"/>
      <c r="CE108" s="24"/>
      <c r="CF108" s="24"/>
      <c r="CG108" s="24"/>
      <c r="CH108" s="24"/>
      <c r="CI108" s="24">
        <f>+'[1]SEPTIEMBRE 2016'!$H$1073</f>
        <v>97925451</v>
      </c>
      <c r="CJ108" s="24"/>
      <c r="CK108" s="24"/>
      <c r="CL108" s="24"/>
      <c r="CM108" s="24"/>
      <c r="CN108" s="25">
        <f t="shared" si="127"/>
        <v>2.0745490000000033E-2</v>
      </c>
      <c r="CO108" s="24">
        <f t="shared" si="128"/>
        <v>2074549</v>
      </c>
      <c r="CP108" s="24">
        <f t="shared" si="129"/>
        <v>0</v>
      </c>
      <c r="CQ108" s="24">
        <f t="shared" si="129"/>
        <v>0</v>
      </c>
      <c r="CR108" s="24">
        <f t="shared" si="129"/>
        <v>0</v>
      </c>
      <c r="CS108" s="24">
        <f t="shared" si="129"/>
        <v>0</v>
      </c>
      <c r="CT108" s="24">
        <f t="shared" si="129"/>
        <v>0</v>
      </c>
      <c r="CU108" s="24">
        <f t="shared" si="129"/>
        <v>0</v>
      </c>
      <c r="CV108" s="24">
        <f t="shared" si="136"/>
        <v>0</v>
      </c>
      <c r="CW108" s="24">
        <f t="shared" si="136"/>
        <v>0</v>
      </c>
      <c r="CX108" s="24">
        <f t="shared" si="129"/>
        <v>0</v>
      </c>
      <c r="CY108" s="24">
        <f t="shared" si="131"/>
        <v>0</v>
      </c>
      <c r="CZ108" s="24">
        <f t="shared" si="131"/>
        <v>0</v>
      </c>
      <c r="DA108" s="24">
        <f t="shared" si="131"/>
        <v>0</v>
      </c>
      <c r="DB108" s="24">
        <f t="shared" si="137"/>
        <v>0</v>
      </c>
      <c r="DC108" s="24">
        <f t="shared" si="137"/>
        <v>0</v>
      </c>
      <c r="DD108" s="24">
        <f t="shared" si="137"/>
        <v>2074549</v>
      </c>
      <c r="DE108" s="24"/>
      <c r="DF108" s="24">
        <f t="shared" si="138"/>
        <v>0</v>
      </c>
      <c r="DG108" s="24">
        <f t="shared" si="138"/>
        <v>0</v>
      </c>
      <c r="DH108" s="24">
        <f t="shared" si="138"/>
        <v>0</v>
      </c>
      <c r="DJ108" s="29">
        <f t="shared" si="110"/>
        <v>100000000</v>
      </c>
      <c r="DK108" s="29">
        <f t="shared" si="96"/>
        <v>100000000</v>
      </c>
      <c r="DL108" s="29">
        <f t="shared" si="97"/>
        <v>100000000</v>
      </c>
    </row>
    <row r="109" spans="1:116" ht="23.25" customHeight="1" x14ac:dyDescent="0.25">
      <c r="A109" s="248"/>
      <c r="B109" s="88" t="s">
        <v>303</v>
      </c>
      <c r="C109" s="69" t="s">
        <v>304</v>
      </c>
      <c r="D109" s="21" t="s">
        <v>305</v>
      </c>
      <c r="E109" s="89">
        <v>301</v>
      </c>
      <c r="F109" s="23" t="s">
        <v>267</v>
      </c>
      <c r="G109" s="24">
        <f t="shared" si="116"/>
        <v>50000000</v>
      </c>
      <c r="H109" s="24"/>
      <c r="I109" s="24">
        <f>50000000-50000000</f>
        <v>0</v>
      </c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>
        <f>21264791+28735209</f>
        <v>50000000</v>
      </c>
      <c r="V109" s="24"/>
      <c r="W109" s="24"/>
      <c r="X109" s="24"/>
      <c r="Y109" s="24"/>
      <c r="Z109" s="24"/>
      <c r="AA109" s="25">
        <f t="shared" si="117"/>
        <v>0.94517945999999997</v>
      </c>
      <c r="AB109" s="24">
        <f t="shared" si="118"/>
        <v>47258973</v>
      </c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>
        <f>+'[4]AGOSTO 2016'!$Y$941</f>
        <v>47258973</v>
      </c>
      <c r="AR109" s="24"/>
      <c r="AS109" s="24"/>
      <c r="AT109" s="24"/>
      <c r="AU109" s="24"/>
      <c r="AV109" s="24"/>
      <c r="AW109" s="25">
        <f t="shared" si="119"/>
        <v>5.4820540000000029E-2</v>
      </c>
      <c r="AX109" s="24">
        <f t="shared" si="120"/>
        <v>2741027</v>
      </c>
      <c r="AY109" s="24">
        <f t="shared" si="121"/>
        <v>0</v>
      </c>
      <c r="AZ109" s="24">
        <f t="shared" si="121"/>
        <v>0</v>
      </c>
      <c r="BA109" s="24">
        <f t="shared" si="121"/>
        <v>0</v>
      </c>
      <c r="BB109" s="24">
        <f t="shared" si="134"/>
        <v>0</v>
      </c>
      <c r="BC109" s="24">
        <f t="shared" si="134"/>
        <v>0</v>
      </c>
      <c r="BD109" s="24">
        <f t="shared" si="134"/>
        <v>0</v>
      </c>
      <c r="BE109" s="24">
        <f t="shared" si="134"/>
        <v>0</v>
      </c>
      <c r="BF109" s="24">
        <f t="shared" si="134"/>
        <v>0</v>
      </c>
      <c r="BG109" s="24">
        <f t="shared" si="134"/>
        <v>0</v>
      </c>
      <c r="BH109" s="24">
        <f t="shared" si="134"/>
        <v>0</v>
      </c>
      <c r="BI109" s="24">
        <f t="shared" si="134"/>
        <v>0</v>
      </c>
      <c r="BJ109" s="24">
        <f t="shared" si="134"/>
        <v>0</v>
      </c>
      <c r="BK109" s="24">
        <f t="shared" si="134"/>
        <v>0</v>
      </c>
      <c r="BL109" s="24">
        <f t="shared" si="134"/>
        <v>2741027</v>
      </c>
      <c r="BM109" s="24">
        <f t="shared" si="134"/>
        <v>0</v>
      </c>
      <c r="BN109" s="24"/>
      <c r="BO109" s="24"/>
      <c r="BP109" s="24">
        <f t="shared" si="123"/>
        <v>0</v>
      </c>
      <c r="BQ109" s="24">
        <f t="shared" si="135"/>
        <v>0</v>
      </c>
      <c r="BR109" s="25">
        <f t="shared" si="125"/>
        <v>0.94517945999999997</v>
      </c>
      <c r="BS109" s="24">
        <f t="shared" si="126"/>
        <v>47258973</v>
      </c>
      <c r="BT109" s="24"/>
      <c r="BU109" s="24"/>
      <c r="BV109" s="24"/>
      <c r="BW109" s="24"/>
      <c r="BX109" s="24"/>
      <c r="BY109" s="24"/>
      <c r="BZ109" s="24"/>
      <c r="CA109" s="24"/>
      <c r="CB109" s="24"/>
      <c r="CC109" s="24"/>
      <c r="CD109" s="24"/>
      <c r="CE109" s="24"/>
      <c r="CF109" s="24"/>
      <c r="CG109" s="24"/>
      <c r="CH109" s="24">
        <f>+'[4]AGOSTO 2016'!$H$939</f>
        <v>47258973</v>
      </c>
      <c r="CI109" s="24"/>
      <c r="CJ109" s="24"/>
      <c r="CK109" s="24"/>
      <c r="CL109" s="24"/>
      <c r="CM109" s="24"/>
      <c r="CN109" s="25">
        <f t="shared" si="127"/>
        <v>5.4820540000000029E-2</v>
      </c>
      <c r="CO109" s="24">
        <f t="shared" si="128"/>
        <v>2741027</v>
      </c>
      <c r="CP109" s="24">
        <f t="shared" si="129"/>
        <v>0</v>
      </c>
      <c r="CQ109" s="24">
        <f t="shared" si="129"/>
        <v>0</v>
      </c>
      <c r="CR109" s="24">
        <f t="shared" si="129"/>
        <v>0</v>
      </c>
      <c r="CS109" s="24">
        <f t="shared" si="129"/>
        <v>0</v>
      </c>
      <c r="CT109" s="24">
        <f t="shared" si="129"/>
        <v>0</v>
      </c>
      <c r="CU109" s="24">
        <f t="shared" si="129"/>
        <v>0</v>
      </c>
      <c r="CV109" s="24">
        <f t="shared" si="136"/>
        <v>0</v>
      </c>
      <c r="CW109" s="24">
        <f t="shared" si="136"/>
        <v>0</v>
      </c>
      <c r="CX109" s="24">
        <f t="shared" si="129"/>
        <v>0</v>
      </c>
      <c r="CY109" s="24">
        <f t="shared" si="131"/>
        <v>0</v>
      </c>
      <c r="CZ109" s="24">
        <f t="shared" si="131"/>
        <v>0</v>
      </c>
      <c r="DA109" s="24">
        <f t="shared" si="131"/>
        <v>0</v>
      </c>
      <c r="DB109" s="24">
        <f t="shared" si="137"/>
        <v>0</v>
      </c>
      <c r="DC109" s="24">
        <f t="shared" si="137"/>
        <v>2741027</v>
      </c>
      <c r="DD109" s="24">
        <f t="shared" si="137"/>
        <v>0</v>
      </c>
      <c r="DE109" s="24"/>
      <c r="DF109" s="24">
        <f t="shared" si="138"/>
        <v>0</v>
      </c>
      <c r="DG109" s="24">
        <f t="shared" si="138"/>
        <v>0</v>
      </c>
      <c r="DH109" s="24">
        <f t="shared" si="138"/>
        <v>0</v>
      </c>
      <c r="DJ109" s="29">
        <f t="shared" si="110"/>
        <v>50000000</v>
      </c>
      <c r="DK109" s="29">
        <f t="shared" si="96"/>
        <v>50000000</v>
      </c>
      <c r="DL109" s="29">
        <f t="shared" si="97"/>
        <v>50000000</v>
      </c>
    </row>
    <row r="110" spans="1:116" ht="23.25" customHeight="1" x14ac:dyDescent="0.25">
      <c r="A110" s="90"/>
      <c r="B110" s="91"/>
      <c r="C110" s="69" t="s">
        <v>306</v>
      </c>
      <c r="D110" s="92" t="s">
        <v>307</v>
      </c>
      <c r="E110" s="22">
        <v>301</v>
      </c>
      <c r="F110" s="93" t="s">
        <v>308</v>
      </c>
      <c r="G110" s="24">
        <f t="shared" si="116"/>
        <v>30000000</v>
      </c>
      <c r="H110" s="72"/>
      <c r="I110" s="72">
        <v>30000000</v>
      </c>
      <c r="J110" s="72"/>
      <c r="K110" s="72"/>
      <c r="L110" s="72"/>
      <c r="M110" s="72"/>
      <c r="N110" s="72"/>
      <c r="O110" s="72"/>
      <c r="P110" s="72"/>
      <c r="Q110" s="72"/>
      <c r="R110" s="72"/>
      <c r="S110" s="72"/>
      <c r="T110" s="72"/>
      <c r="U110" s="72"/>
      <c r="V110" s="72"/>
      <c r="W110" s="72"/>
      <c r="X110" s="72"/>
      <c r="Y110" s="72"/>
      <c r="Z110" s="72"/>
      <c r="AA110" s="25">
        <f t="shared" si="117"/>
        <v>0</v>
      </c>
      <c r="AB110" s="24">
        <f t="shared" si="118"/>
        <v>0</v>
      </c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25">
        <f t="shared" si="119"/>
        <v>1</v>
      </c>
      <c r="AX110" s="24">
        <f t="shared" si="120"/>
        <v>30000000</v>
      </c>
      <c r="AY110" s="72"/>
      <c r="AZ110" s="24">
        <f>I110-AE110</f>
        <v>30000000</v>
      </c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25">
        <f t="shared" si="125"/>
        <v>0</v>
      </c>
      <c r="BS110" s="24">
        <f t="shared" si="126"/>
        <v>0</v>
      </c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25">
        <f t="shared" si="127"/>
        <v>1</v>
      </c>
      <c r="CO110" s="24">
        <f t="shared" si="128"/>
        <v>30000000</v>
      </c>
      <c r="CP110" s="72"/>
      <c r="CQ110" s="24">
        <f>I110-BV110</f>
        <v>30000000</v>
      </c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24"/>
      <c r="DJ110" s="29">
        <f t="shared" si="110"/>
        <v>30000000</v>
      </c>
      <c r="DK110" s="29">
        <f t="shared" si="96"/>
        <v>30000000</v>
      </c>
      <c r="DL110" s="29">
        <f t="shared" si="97"/>
        <v>30000000</v>
      </c>
    </row>
    <row r="111" spans="1:116" ht="19.5" customHeight="1" x14ac:dyDescent="0.25">
      <c r="A111" s="90"/>
      <c r="B111" s="91"/>
      <c r="C111" s="69" t="s">
        <v>309</v>
      </c>
      <c r="D111" s="92" t="s">
        <v>310</v>
      </c>
      <c r="E111" s="22">
        <v>301</v>
      </c>
      <c r="F111" s="93" t="s">
        <v>308</v>
      </c>
      <c r="G111" s="24">
        <f t="shared" si="116"/>
        <v>80000000</v>
      </c>
      <c r="H111" s="72"/>
      <c r="I111" s="72">
        <v>80000000</v>
      </c>
      <c r="J111" s="72"/>
      <c r="K111" s="72"/>
      <c r="L111" s="72"/>
      <c r="M111" s="72"/>
      <c r="N111" s="72"/>
      <c r="O111" s="72"/>
      <c r="P111" s="72"/>
      <c r="Q111" s="72"/>
      <c r="R111" s="72"/>
      <c r="S111" s="72"/>
      <c r="T111" s="72"/>
      <c r="U111" s="72"/>
      <c r="V111" s="72"/>
      <c r="W111" s="72"/>
      <c r="X111" s="72"/>
      <c r="Y111" s="72"/>
      <c r="Z111" s="72"/>
      <c r="AA111" s="25">
        <f t="shared" si="117"/>
        <v>0</v>
      </c>
      <c r="AB111" s="24">
        <f t="shared" si="118"/>
        <v>0</v>
      </c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25">
        <f t="shared" si="119"/>
        <v>1</v>
      </c>
      <c r="AX111" s="24">
        <f t="shared" si="120"/>
        <v>80000000</v>
      </c>
      <c r="AY111" s="72"/>
      <c r="AZ111" s="24">
        <f>I111-AE111</f>
        <v>80000000</v>
      </c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25">
        <f t="shared" si="125"/>
        <v>0</v>
      </c>
      <c r="BS111" s="24">
        <f t="shared" si="126"/>
        <v>0</v>
      </c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25">
        <f t="shared" si="127"/>
        <v>1</v>
      </c>
      <c r="CO111" s="24">
        <f t="shared" si="128"/>
        <v>80000000</v>
      </c>
      <c r="CP111" s="72"/>
      <c r="CQ111" s="24">
        <f>I111-BV111</f>
        <v>80000000</v>
      </c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24"/>
      <c r="DJ111" s="29">
        <f t="shared" si="110"/>
        <v>80000000</v>
      </c>
      <c r="DK111" s="29">
        <f t="shared" si="96"/>
        <v>80000000</v>
      </c>
      <c r="DL111" s="29">
        <f t="shared" si="97"/>
        <v>80000000</v>
      </c>
    </row>
    <row r="112" spans="1:116" ht="30" x14ac:dyDescent="0.25">
      <c r="A112" s="90"/>
      <c r="B112" s="91"/>
      <c r="C112" s="69" t="s">
        <v>311</v>
      </c>
      <c r="D112" s="92" t="s">
        <v>312</v>
      </c>
      <c r="E112" s="22">
        <v>301</v>
      </c>
      <c r="F112" s="93" t="s">
        <v>308</v>
      </c>
      <c r="G112" s="24">
        <f t="shared" si="116"/>
        <v>75000000</v>
      </c>
      <c r="H112" s="72"/>
      <c r="I112" s="72">
        <v>75000000</v>
      </c>
      <c r="J112" s="72"/>
      <c r="K112" s="72"/>
      <c r="L112" s="72"/>
      <c r="M112" s="72"/>
      <c r="N112" s="72"/>
      <c r="O112" s="72"/>
      <c r="P112" s="72"/>
      <c r="Q112" s="72"/>
      <c r="R112" s="72"/>
      <c r="S112" s="72"/>
      <c r="T112" s="72"/>
      <c r="U112" s="72"/>
      <c r="V112" s="72"/>
      <c r="W112" s="72"/>
      <c r="X112" s="72"/>
      <c r="Y112" s="72"/>
      <c r="Z112" s="72"/>
      <c r="AA112" s="25">
        <f t="shared" si="117"/>
        <v>4.8000000000000001E-2</v>
      </c>
      <c r="AB112" s="24">
        <f t="shared" si="118"/>
        <v>3600000</v>
      </c>
      <c r="AC112" s="72"/>
      <c r="AD112" s="72"/>
      <c r="AE112" s="72">
        <f>+'[1]SEPTIEMBRE 2016'!$M$1152</f>
        <v>3600000</v>
      </c>
      <c r="AF112" s="72"/>
      <c r="AG112" s="72"/>
      <c r="AH112" s="72"/>
      <c r="AI112" s="72"/>
      <c r="AJ112" s="72"/>
      <c r="AK112" s="72"/>
      <c r="AL112" s="72"/>
      <c r="AM112" s="72"/>
      <c r="AN112" s="72"/>
      <c r="AO112" s="72"/>
      <c r="AP112" s="72"/>
      <c r="AQ112" s="72"/>
      <c r="AR112" s="72"/>
      <c r="AS112" s="72"/>
      <c r="AT112" s="72"/>
      <c r="AU112" s="72"/>
      <c r="AV112" s="72"/>
      <c r="AW112" s="25">
        <f t="shared" si="119"/>
        <v>0.95199999999999996</v>
      </c>
      <c r="AX112" s="24">
        <f t="shared" si="120"/>
        <v>71400000</v>
      </c>
      <c r="AY112" s="72"/>
      <c r="AZ112" s="24">
        <f>I112-AE112</f>
        <v>71400000</v>
      </c>
      <c r="BA112" s="72"/>
      <c r="BB112" s="72"/>
      <c r="BC112" s="72"/>
      <c r="BD112" s="72"/>
      <c r="BE112" s="72"/>
      <c r="BF112" s="72"/>
      <c r="BG112" s="72"/>
      <c r="BH112" s="72"/>
      <c r="BI112" s="72"/>
      <c r="BJ112" s="72"/>
      <c r="BK112" s="72"/>
      <c r="BL112" s="72"/>
      <c r="BM112" s="72"/>
      <c r="BN112" s="72"/>
      <c r="BO112" s="72"/>
      <c r="BP112" s="72"/>
      <c r="BQ112" s="72"/>
      <c r="BR112" s="25">
        <f t="shared" si="125"/>
        <v>0</v>
      </c>
      <c r="BS112" s="24">
        <f t="shared" si="126"/>
        <v>0</v>
      </c>
      <c r="BT112" s="72"/>
      <c r="BU112" s="72"/>
      <c r="BV112" s="72"/>
      <c r="BW112" s="72"/>
      <c r="BX112" s="72"/>
      <c r="BY112" s="72"/>
      <c r="BZ112" s="72"/>
      <c r="CA112" s="72"/>
      <c r="CB112" s="72"/>
      <c r="CC112" s="72"/>
      <c r="CD112" s="72"/>
      <c r="CE112" s="72"/>
      <c r="CF112" s="72"/>
      <c r="CG112" s="72"/>
      <c r="CH112" s="72"/>
      <c r="CI112" s="72"/>
      <c r="CJ112" s="72"/>
      <c r="CK112" s="72"/>
      <c r="CL112" s="72"/>
      <c r="CM112" s="72"/>
      <c r="CN112" s="25">
        <f t="shared" si="127"/>
        <v>1</v>
      </c>
      <c r="CO112" s="24">
        <f t="shared" si="128"/>
        <v>75000000</v>
      </c>
      <c r="CP112" s="72"/>
      <c r="CQ112" s="24">
        <f>I112-BV112</f>
        <v>75000000</v>
      </c>
      <c r="CR112" s="72"/>
      <c r="CS112" s="72"/>
      <c r="CT112" s="72"/>
      <c r="CU112" s="72"/>
      <c r="CV112" s="72"/>
      <c r="CW112" s="72"/>
      <c r="CX112" s="72"/>
      <c r="CY112" s="72"/>
      <c r="CZ112" s="72"/>
      <c r="DA112" s="72"/>
      <c r="DB112" s="72"/>
      <c r="DC112" s="72"/>
      <c r="DD112" s="72"/>
      <c r="DE112" s="72"/>
      <c r="DF112" s="72"/>
      <c r="DG112" s="72"/>
      <c r="DH112" s="24"/>
      <c r="DJ112" s="29">
        <f t="shared" si="110"/>
        <v>75000000</v>
      </c>
      <c r="DK112" s="29">
        <f t="shared" si="96"/>
        <v>75000000</v>
      </c>
      <c r="DL112" s="29">
        <f t="shared" si="97"/>
        <v>75000000</v>
      </c>
    </row>
    <row r="113" spans="1:116" s="43" customFormat="1" ht="21" customHeight="1" thickBot="1" x14ac:dyDescent="0.3">
      <c r="A113" s="73"/>
      <c r="B113" s="249" t="s">
        <v>313</v>
      </c>
      <c r="C113" s="250"/>
      <c r="D113" s="250"/>
      <c r="E113" s="250"/>
      <c r="F113" s="251"/>
      <c r="G113" s="61">
        <f>SUM(G95:G112)</f>
        <v>2949123548</v>
      </c>
      <c r="H113" s="61">
        <f t="shared" ref="H113:Z113" si="139">SUM(H95:H112)</f>
        <v>200000000</v>
      </c>
      <c r="I113" s="61">
        <f t="shared" si="139"/>
        <v>453168096</v>
      </c>
      <c r="J113" s="61">
        <f t="shared" si="139"/>
        <v>0</v>
      </c>
      <c r="K113" s="61">
        <f t="shared" si="139"/>
        <v>701280247</v>
      </c>
      <c r="L113" s="61">
        <f t="shared" si="139"/>
        <v>0</v>
      </c>
      <c r="M113" s="61">
        <f t="shared" si="139"/>
        <v>0</v>
      </c>
      <c r="N113" s="61">
        <f t="shared" si="139"/>
        <v>0</v>
      </c>
      <c r="O113" s="61">
        <f t="shared" si="139"/>
        <v>0</v>
      </c>
      <c r="P113" s="61">
        <f t="shared" si="139"/>
        <v>0</v>
      </c>
      <c r="Q113" s="61">
        <f t="shared" si="139"/>
        <v>0</v>
      </c>
      <c r="R113" s="61">
        <f t="shared" si="139"/>
        <v>0</v>
      </c>
      <c r="S113" s="61">
        <f t="shared" si="139"/>
        <v>0</v>
      </c>
      <c r="T113" s="61">
        <f t="shared" si="139"/>
        <v>0</v>
      </c>
      <c r="U113" s="61">
        <f t="shared" si="139"/>
        <v>245242997</v>
      </c>
      <c r="V113" s="61">
        <f t="shared" si="139"/>
        <v>1262551657</v>
      </c>
      <c r="W113" s="61">
        <f t="shared" si="139"/>
        <v>0</v>
      </c>
      <c r="X113" s="61">
        <f t="shared" si="139"/>
        <v>0</v>
      </c>
      <c r="Y113" s="61">
        <f t="shared" si="139"/>
        <v>0</v>
      </c>
      <c r="Z113" s="61">
        <f t="shared" si="139"/>
        <v>86880551</v>
      </c>
      <c r="AA113" s="39">
        <f t="shared" si="117"/>
        <v>0.85205638017576879</v>
      </c>
      <c r="AB113" s="61">
        <f>SUM(AB95:AB112)</f>
        <v>2512819535</v>
      </c>
      <c r="AC113" s="61"/>
      <c r="AD113" s="61">
        <f t="shared" ref="AD113:AV113" si="140">SUM(AD95:AD112)</f>
        <v>198408143</v>
      </c>
      <c r="AE113" s="61">
        <f t="shared" si="140"/>
        <v>271768096</v>
      </c>
      <c r="AF113" s="61">
        <f t="shared" si="140"/>
        <v>0</v>
      </c>
      <c r="AG113" s="61">
        <f t="shared" si="140"/>
        <v>701280247</v>
      </c>
      <c r="AH113" s="61">
        <f t="shared" si="140"/>
        <v>0</v>
      </c>
      <c r="AI113" s="61">
        <f t="shared" si="140"/>
        <v>0</v>
      </c>
      <c r="AJ113" s="61">
        <f t="shared" si="140"/>
        <v>0</v>
      </c>
      <c r="AK113" s="61">
        <f t="shared" si="140"/>
        <v>0</v>
      </c>
      <c r="AL113" s="61">
        <f t="shared" si="140"/>
        <v>0</v>
      </c>
      <c r="AM113" s="61">
        <f t="shared" si="140"/>
        <v>0</v>
      </c>
      <c r="AN113" s="61">
        <f t="shared" si="140"/>
        <v>0</v>
      </c>
      <c r="AO113" s="61">
        <f t="shared" si="140"/>
        <v>0</v>
      </c>
      <c r="AP113" s="61">
        <f t="shared" si="140"/>
        <v>0</v>
      </c>
      <c r="AQ113" s="61">
        <f t="shared" si="140"/>
        <v>150327287</v>
      </c>
      <c r="AR113" s="61">
        <f t="shared" si="140"/>
        <v>1158469451</v>
      </c>
      <c r="AS113" s="61">
        <f t="shared" si="140"/>
        <v>0</v>
      </c>
      <c r="AT113" s="61">
        <f t="shared" si="140"/>
        <v>0</v>
      </c>
      <c r="AU113" s="61">
        <f t="shared" si="140"/>
        <v>0</v>
      </c>
      <c r="AV113" s="61">
        <f t="shared" si="140"/>
        <v>32566311</v>
      </c>
      <c r="AW113" s="39">
        <f t="shared" si="119"/>
        <v>0.14794361982423121</v>
      </c>
      <c r="AX113" s="61">
        <f>SUM(AX95:AX112)</f>
        <v>436304013</v>
      </c>
      <c r="AY113" s="61">
        <f t="shared" ref="AY113:BQ113" si="141">SUM(AY95:AY112)</f>
        <v>1591857</v>
      </c>
      <c r="AZ113" s="61">
        <f t="shared" si="141"/>
        <v>181400000</v>
      </c>
      <c r="BA113" s="61">
        <f t="shared" si="141"/>
        <v>0</v>
      </c>
      <c r="BB113" s="61">
        <f t="shared" si="141"/>
        <v>0</v>
      </c>
      <c r="BC113" s="61">
        <f t="shared" si="141"/>
        <v>0</v>
      </c>
      <c r="BD113" s="61">
        <f t="shared" si="141"/>
        <v>0</v>
      </c>
      <c r="BE113" s="61">
        <f t="shared" si="141"/>
        <v>0</v>
      </c>
      <c r="BF113" s="61">
        <f t="shared" si="141"/>
        <v>0</v>
      </c>
      <c r="BG113" s="61">
        <f t="shared" si="141"/>
        <v>0</v>
      </c>
      <c r="BH113" s="61">
        <f t="shared" si="141"/>
        <v>0</v>
      </c>
      <c r="BI113" s="61">
        <f t="shared" si="141"/>
        <v>0</v>
      </c>
      <c r="BJ113" s="61">
        <f t="shared" si="141"/>
        <v>0</v>
      </c>
      <c r="BK113" s="61">
        <f t="shared" si="141"/>
        <v>0</v>
      </c>
      <c r="BL113" s="61">
        <f t="shared" si="141"/>
        <v>94915710</v>
      </c>
      <c r="BM113" s="61">
        <f t="shared" si="141"/>
        <v>104082206</v>
      </c>
      <c r="BN113" s="61">
        <f t="shared" si="141"/>
        <v>0</v>
      </c>
      <c r="BO113" s="61">
        <f t="shared" si="141"/>
        <v>0</v>
      </c>
      <c r="BP113" s="61">
        <f t="shared" si="141"/>
        <v>0</v>
      </c>
      <c r="BQ113" s="61">
        <f t="shared" si="141"/>
        <v>54314240</v>
      </c>
      <c r="BR113" s="39">
        <f t="shared" si="125"/>
        <v>0.79096945924220063</v>
      </c>
      <c r="BS113" s="61">
        <f>SUM(BS95:BS112)</f>
        <v>2332666658</v>
      </c>
      <c r="BT113" s="61">
        <f>SUM(BT95:BT109)</f>
        <v>0</v>
      </c>
      <c r="BU113" s="61">
        <f t="shared" ref="BU113:CM113" si="142">SUM(BU95:BU112)</f>
        <v>198408143</v>
      </c>
      <c r="BV113" s="61">
        <f t="shared" si="142"/>
        <v>268168096</v>
      </c>
      <c r="BW113" s="61">
        <f t="shared" si="142"/>
        <v>0</v>
      </c>
      <c r="BX113" s="61">
        <f t="shared" si="142"/>
        <v>701280247</v>
      </c>
      <c r="BY113" s="61">
        <f t="shared" si="142"/>
        <v>0</v>
      </c>
      <c r="BZ113" s="61">
        <f t="shared" si="142"/>
        <v>0</v>
      </c>
      <c r="CA113" s="61">
        <f t="shared" si="142"/>
        <v>0</v>
      </c>
      <c r="CB113" s="61">
        <f t="shared" si="142"/>
        <v>0</v>
      </c>
      <c r="CC113" s="61">
        <f t="shared" si="142"/>
        <v>0</v>
      </c>
      <c r="CD113" s="61">
        <f t="shared" si="142"/>
        <v>0</v>
      </c>
      <c r="CE113" s="61">
        <f t="shared" si="142"/>
        <v>0</v>
      </c>
      <c r="CF113" s="61">
        <f t="shared" si="142"/>
        <v>0</v>
      </c>
      <c r="CG113" s="61">
        <f t="shared" si="142"/>
        <v>0</v>
      </c>
      <c r="CH113" s="61">
        <f t="shared" si="142"/>
        <v>89000967</v>
      </c>
      <c r="CI113" s="61">
        <f t="shared" si="142"/>
        <v>1044337414</v>
      </c>
      <c r="CJ113" s="61">
        <f t="shared" si="142"/>
        <v>0</v>
      </c>
      <c r="CK113" s="61">
        <f t="shared" si="142"/>
        <v>0</v>
      </c>
      <c r="CL113" s="61">
        <f t="shared" si="142"/>
        <v>0</v>
      </c>
      <c r="CM113" s="61">
        <f t="shared" si="142"/>
        <v>31471791</v>
      </c>
      <c r="CN113" s="39">
        <f t="shared" si="127"/>
        <v>0.20903054075779937</v>
      </c>
      <c r="CO113" s="61">
        <f>SUM(CO95:CO112)</f>
        <v>616456890</v>
      </c>
      <c r="CP113" s="61">
        <f t="shared" ref="CP113:DH113" si="143">SUM(CP95:CP112)</f>
        <v>1591857</v>
      </c>
      <c r="CQ113" s="61">
        <f t="shared" si="143"/>
        <v>185000000</v>
      </c>
      <c r="CR113" s="61">
        <f t="shared" si="143"/>
        <v>0</v>
      </c>
      <c r="CS113" s="61">
        <f t="shared" si="143"/>
        <v>0</v>
      </c>
      <c r="CT113" s="61">
        <f t="shared" si="143"/>
        <v>0</v>
      </c>
      <c r="CU113" s="61">
        <f t="shared" si="143"/>
        <v>0</v>
      </c>
      <c r="CV113" s="61">
        <f t="shared" si="143"/>
        <v>0</v>
      </c>
      <c r="CW113" s="61">
        <f t="shared" si="143"/>
        <v>0</v>
      </c>
      <c r="CX113" s="61">
        <f t="shared" si="143"/>
        <v>0</v>
      </c>
      <c r="CY113" s="61">
        <f t="shared" si="143"/>
        <v>0</v>
      </c>
      <c r="CZ113" s="61">
        <f t="shared" si="143"/>
        <v>0</v>
      </c>
      <c r="DA113" s="61">
        <f t="shared" si="143"/>
        <v>0</v>
      </c>
      <c r="DB113" s="61">
        <f t="shared" si="143"/>
        <v>0</v>
      </c>
      <c r="DC113" s="61">
        <f t="shared" si="143"/>
        <v>156242030</v>
      </c>
      <c r="DD113" s="61">
        <f t="shared" si="143"/>
        <v>218214243</v>
      </c>
      <c r="DE113" s="61">
        <f t="shared" si="143"/>
        <v>0</v>
      </c>
      <c r="DF113" s="61">
        <f t="shared" si="143"/>
        <v>0</v>
      </c>
      <c r="DG113" s="61">
        <f t="shared" si="143"/>
        <v>0</v>
      </c>
      <c r="DH113" s="61">
        <f t="shared" si="143"/>
        <v>55408760</v>
      </c>
      <c r="DJ113" s="29">
        <f t="shared" si="110"/>
        <v>2949123548</v>
      </c>
      <c r="DK113" s="29">
        <f t="shared" si="96"/>
        <v>2949123548</v>
      </c>
      <c r="DL113" s="29">
        <f t="shared" si="97"/>
        <v>2949123548</v>
      </c>
    </row>
    <row r="114" spans="1:116" ht="51" customHeight="1" thickTop="1" x14ac:dyDescent="0.25">
      <c r="A114" s="241" t="s">
        <v>314</v>
      </c>
      <c r="B114" s="237" t="s">
        <v>315</v>
      </c>
      <c r="C114" s="69" t="s">
        <v>316</v>
      </c>
      <c r="D114" s="21" t="s">
        <v>317</v>
      </c>
      <c r="E114" s="94">
        <v>111</v>
      </c>
      <c r="F114" s="23" t="s">
        <v>318</v>
      </c>
      <c r="G114" s="24">
        <f t="shared" ref="G114:G132" si="144">SUM(H114:Z114)</f>
        <v>3613217579</v>
      </c>
      <c r="H114" s="24"/>
      <c r="I114" s="24">
        <f>2264025000+1062351800-228708462</f>
        <v>3097668338</v>
      </c>
      <c r="J114" s="24">
        <f>72450095-52147109</f>
        <v>20302986</v>
      </c>
      <c r="K114" s="24"/>
      <c r="L114" s="24"/>
      <c r="M114" s="24">
        <f>54387</f>
        <v>54387</v>
      </c>
      <c r="N114" s="24">
        <f>30665828</f>
        <v>30665828</v>
      </c>
      <c r="O114" s="24">
        <f>1940856</f>
        <v>1940856</v>
      </c>
      <c r="P114" s="24"/>
      <c r="Q114" s="54">
        <f>60000000+100000000</f>
        <v>160000000</v>
      </c>
      <c r="R114" s="24"/>
      <c r="S114" s="24"/>
      <c r="T114" s="24"/>
      <c r="U114" s="24"/>
      <c r="V114" s="24"/>
      <c r="W114" s="24"/>
      <c r="X114" s="24"/>
      <c r="Y114" s="24"/>
      <c r="Z114" s="24">
        <f>28000000+784585184-485000000-9000000-16000000</f>
        <v>302585184</v>
      </c>
      <c r="AA114" s="25">
        <f t="shared" si="117"/>
        <v>0.36752330518870202</v>
      </c>
      <c r="AB114" s="24">
        <f t="shared" ref="AB114:AB132" si="145">SUM(AC114:AV114)</f>
        <v>1327941667</v>
      </c>
      <c r="AC114" s="24"/>
      <c r="AD114" s="24"/>
      <c r="AE114" s="24">
        <f>+'[1]SEPTIEMBRE 2016'!$M$18</f>
        <v>1326262451</v>
      </c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>
        <f>+'[4]AGOSTO 2016'!$AG$18</f>
        <v>1679216</v>
      </c>
      <c r="AW114" s="25">
        <f t="shared" si="119"/>
        <v>0.63247669481129798</v>
      </c>
      <c r="AX114" s="24">
        <f t="shared" ref="AX114:AX132" si="146">SUM(AY114:BQ114)</f>
        <v>2285275912</v>
      </c>
      <c r="AY114" s="24">
        <f t="shared" ref="AY114:BM125" si="147">H114-AD114</f>
        <v>0</v>
      </c>
      <c r="AZ114" s="24">
        <f t="shared" si="147"/>
        <v>1771405887</v>
      </c>
      <c r="BA114" s="24">
        <f t="shared" si="147"/>
        <v>20302986</v>
      </c>
      <c r="BB114" s="24">
        <f t="shared" ref="BB114:BM124" si="148">+K114-AG114</f>
        <v>0</v>
      </c>
      <c r="BC114" s="24">
        <f t="shared" si="148"/>
        <v>0</v>
      </c>
      <c r="BD114" s="24">
        <f t="shared" si="148"/>
        <v>54387</v>
      </c>
      <c r="BE114" s="24">
        <f t="shared" si="148"/>
        <v>30665828</v>
      </c>
      <c r="BF114" s="24">
        <f t="shared" si="148"/>
        <v>1940856</v>
      </c>
      <c r="BG114" s="24">
        <f t="shared" si="148"/>
        <v>0</v>
      </c>
      <c r="BH114" s="24">
        <f t="shared" si="148"/>
        <v>160000000</v>
      </c>
      <c r="BI114" s="24">
        <f t="shared" si="148"/>
        <v>0</v>
      </c>
      <c r="BJ114" s="24">
        <f t="shared" si="148"/>
        <v>0</v>
      </c>
      <c r="BK114" s="24">
        <f t="shared" si="148"/>
        <v>0</v>
      </c>
      <c r="BL114" s="24">
        <f t="shared" si="148"/>
        <v>0</v>
      </c>
      <c r="BM114" s="24">
        <f t="shared" si="148"/>
        <v>0</v>
      </c>
      <c r="BN114" s="24"/>
      <c r="BO114" s="24"/>
      <c r="BP114" s="24">
        <f t="shared" ref="BP114:BP125" si="149">Y114-AU114</f>
        <v>0</v>
      </c>
      <c r="BQ114" s="24">
        <f t="shared" ref="BQ114:BQ124" si="150">+Z114-AV114</f>
        <v>300905968</v>
      </c>
      <c r="BR114" s="25">
        <f t="shared" si="125"/>
        <v>0.36752330518870202</v>
      </c>
      <c r="BS114" s="24">
        <f t="shared" ref="BS114:BS132" si="151">SUM(BT114:CM114)</f>
        <v>1327941667</v>
      </c>
      <c r="BT114" s="24"/>
      <c r="BU114" s="24"/>
      <c r="BV114" s="24">
        <f>+'[1]SEPTIEMBRE 2016'!$M$18</f>
        <v>1326262451</v>
      </c>
      <c r="BW114" s="24"/>
      <c r="BX114" s="24"/>
      <c r="BY114" s="24"/>
      <c r="BZ114" s="24"/>
      <c r="CA114" s="24"/>
      <c r="CB114" s="24"/>
      <c r="CC114" s="24"/>
      <c r="CD114" s="24"/>
      <c r="CE114" s="24"/>
      <c r="CF114" s="24"/>
      <c r="CG114" s="24"/>
      <c r="CH114" s="24"/>
      <c r="CI114" s="24"/>
      <c r="CJ114" s="24"/>
      <c r="CK114" s="24"/>
      <c r="CL114" s="24"/>
      <c r="CM114" s="24">
        <f>+'[4]AGOSTO 2016'!$H$29</f>
        <v>1679216</v>
      </c>
      <c r="CN114" s="25">
        <f t="shared" si="127"/>
        <v>0.63247669481129798</v>
      </c>
      <c r="CO114" s="24">
        <f t="shared" ref="CO114:CO132" si="152">SUM(CP114:DH114)</f>
        <v>2285275912</v>
      </c>
      <c r="CP114" s="24">
        <f t="shared" ref="CP114:CU125" si="153">H114-BU114</f>
        <v>0</v>
      </c>
      <c r="CQ114" s="24">
        <f t="shared" si="153"/>
        <v>1771405887</v>
      </c>
      <c r="CR114" s="24">
        <f t="shared" si="153"/>
        <v>20302986</v>
      </c>
      <c r="CS114" s="24">
        <f t="shared" si="153"/>
        <v>0</v>
      </c>
      <c r="CT114" s="24">
        <f t="shared" si="153"/>
        <v>0</v>
      </c>
      <c r="CU114" s="24">
        <f t="shared" si="153"/>
        <v>54387</v>
      </c>
      <c r="CV114" s="24">
        <f t="shared" ref="CV114:CX124" si="154">+N114-CA114</f>
        <v>30665828</v>
      </c>
      <c r="CW114" s="24">
        <f t="shared" si="154"/>
        <v>1940856</v>
      </c>
      <c r="CX114" s="24">
        <f t="shared" si="154"/>
        <v>0</v>
      </c>
      <c r="CY114" s="24">
        <f t="shared" ref="CY114:DA125" si="155">Q114-CD114</f>
        <v>160000000</v>
      </c>
      <c r="CZ114" s="24">
        <f t="shared" si="155"/>
        <v>0</v>
      </c>
      <c r="DA114" s="24">
        <f t="shared" si="155"/>
        <v>0</v>
      </c>
      <c r="DB114" s="24">
        <f t="shared" ref="DB114:DD124" si="156">+T114-CG114</f>
        <v>0</v>
      </c>
      <c r="DC114" s="24">
        <f t="shared" si="156"/>
        <v>0</v>
      </c>
      <c r="DD114" s="24">
        <f t="shared" si="156"/>
        <v>0</v>
      </c>
      <c r="DE114" s="24"/>
      <c r="DF114" s="24">
        <f t="shared" ref="DF114:DH124" si="157">+X114-CK114</f>
        <v>0</v>
      </c>
      <c r="DG114" s="24">
        <f t="shared" si="157"/>
        <v>0</v>
      </c>
      <c r="DH114" s="24">
        <f t="shared" si="157"/>
        <v>300905968</v>
      </c>
      <c r="DJ114" s="29">
        <f t="shared" si="110"/>
        <v>3613217579</v>
      </c>
      <c r="DK114" s="29">
        <f t="shared" si="96"/>
        <v>3613217579</v>
      </c>
      <c r="DL114" s="29">
        <f t="shared" si="97"/>
        <v>3613217579</v>
      </c>
    </row>
    <row r="115" spans="1:116" s="58" customFormat="1" ht="36" customHeight="1" x14ac:dyDescent="0.25">
      <c r="A115" s="238"/>
      <c r="B115" s="232"/>
      <c r="C115" s="55" t="s">
        <v>319</v>
      </c>
      <c r="D115" s="21" t="s">
        <v>320</v>
      </c>
      <c r="E115" s="89">
        <v>111</v>
      </c>
      <c r="F115" s="23" t="s">
        <v>321</v>
      </c>
      <c r="G115" s="24">
        <f t="shared" si="144"/>
        <v>1187573002</v>
      </c>
      <c r="H115" s="54"/>
      <c r="I115" s="54">
        <f>982978733+50000000</f>
        <v>1032978733</v>
      </c>
      <c r="J115" s="54">
        <v>39062301</v>
      </c>
      <c r="K115" s="54"/>
      <c r="L115" s="54"/>
      <c r="M115" s="54"/>
      <c r="N115" s="54"/>
      <c r="O115" s="54"/>
      <c r="P115" s="54">
        <f>3438802</f>
        <v>3438802</v>
      </c>
      <c r="Q115" s="54">
        <f>50000000</f>
        <v>50000000</v>
      </c>
      <c r="R115" s="54"/>
      <c r="S115" s="54"/>
      <c r="T115" s="54"/>
      <c r="U115" s="54"/>
      <c r="V115" s="54"/>
      <c r="W115" s="54"/>
      <c r="X115" s="54"/>
      <c r="Y115" s="54"/>
      <c r="Z115" s="54">
        <f>12000000+1000000+2897715+16000000+3195451+27000000</f>
        <v>62093166</v>
      </c>
      <c r="AA115" s="57">
        <f t="shared" si="117"/>
        <v>0.9516656576872905</v>
      </c>
      <c r="AB115" s="24">
        <f t="shared" si="145"/>
        <v>1130172442</v>
      </c>
      <c r="AC115" s="54"/>
      <c r="AD115" s="54"/>
      <c r="AE115" s="54">
        <f>+'[1]SEPTIEMBRE 2016'!$M$35</f>
        <v>1018550836</v>
      </c>
      <c r="AF115" s="54">
        <f>+'[1]SEPTIEMBRE 2016'!$N$35</f>
        <v>37587370</v>
      </c>
      <c r="AG115" s="54"/>
      <c r="AH115" s="54"/>
      <c r="AI115" s="54"/>
      <c r="AJ115" s="54"/>
      <c r="AK115" s="54"/>
      <c r="AL115" s="54">
        <f>+'[1]SEPTIEMBRE 2016'!$T$35</f>
        <v>300000</v>
      </c>
      <c r="AM115" s="24">
        <f>+'[7]MAYO 2016'!$U$31</f>
        <v>49856575</v>
      </c>
      <c r="AN115" s="54"/>
      <c r="AO115" s="54"/>
      <c r="AP115" s="54"/>
      <c r="AQ115" s="54"/>
      <c r="AR115" s="54"/>
      <c r="AS115" s="54"/>
      <c r="AT115" s="54"/>
      <c r="AU115" s="54"/>
      <c r="AV115" s="54">
        <f>+'[1]SEPTIEMBRE 2016'!$AG$35</f>
        <v>23877661</v>
      </c>
      <c r="AW115" s="57">
        <f t="shared" si="119"/>
        <v>4.83343423127095E-2</v>
      </c>
      <c r="AX115" s="24">
        <f t="shared" si="146"/>
        <v>57400560</v>
      </c>
      <c r="AY115" s="54">
        <f t="shared" si="147"/>
        <v>0</v>
      </c>
      <c r="AZ115" s="54">
        <f t="shared" si="147"/>
        <v>14427897</v>
      </c>
      <c r="BA115" s="54">
        <f t="shared" si="147"/>
        <v>1474931</v>
      </c>
      <c r="BB115" s="54">
        <f t="shared" si="148"/>
        <v>0</v>
      </c>
      <c r="BC115" s="54">
        <f t="shared" si="148"/>
        <v>0</v>
      </c>
      <c r="BD115" s="24">
        <f t="shared" si="148"/>
        <v>0</v>
      </c>
      <c r="BE115" s="54">
        <f t="shared" si="148"/>
        <v>0</v>
      </c>
      <c r="BF115" s="54">
        <f t="shared" si="148"/>
        <v>0</v>
      </c>
      <c r="BG115" s="54">
        <f t="shared" si="148"/>
        <v>3138802</v>
      </c>
      <c r="BH115" s="54">
        <f t="shared" si="148"/>
        <v>143425</v>
      </c>
      <c r="BI115" s="54">
        <f t="shared" si="148"/>
        <v>0</v>
      </c>
      <c r="BJ115" s="54">
        <f t="shared" si="148"/>
        <v>0</v>
      </c>
      <c r="BK115" s="54">
        <f t="shared" si="148"/>
        <v>0</v>
      </c>
      <c r="BL115" s="54">
        <f t="shared" si="148"/>
        <v>0</v>
      </c>
      <c r="BM115" s="54">
        <f t="shared" si="148"/>
        <v>0</v>
      </c>
      <c r="BN115" s="54"/>
      <c r="BO115" s="54"/>
      <c r="BP115" s="24">
        <f t="shared" si="149"/>
        <v>0</v>
      </c>
      <c r="BQ115" s="54">
        <f t="shared" si="150"/>
        <v>38215505</v>
      </c>
      <c r="BR115" s="57">
        <f t="shared" si="125"/>
        <v>0.89210500004276794</v>
      </c>
      <c r="BS115" s="24">
        <f t="shared" si="151"/>
        <v>1059439813</v>
      </c>
      <c r="BT115" s="54"/>
      <c r="BU115" s="54"/>
      <c r="BV115" s="54">
        <f>+'[1]SEPTIEMBRE 2016'!$H$36+'[1]SEPTIEMBRE 2016'!$H$40+'[1]SEPTIEMBRE 2016'!$H$42+'[1]SEPTIEMBRE 2016'!$H$45+'[1]SEPTIEMBRE 2016'!$H$47+'[1]SEPTIEMBRE 2016'!$H$50+'[1]SEPTIEMBRE 2016'!$H$52+'[1]SEPTIEMBRE 2016'!$H$54+'[1]SEPTIEMBRE 2016'!$H$56+'[1]SEPTIEMBRE 2016'!$H$60+'[1]SEPTIEMBRE 2016'!$H$67+'[1]SEPTIEMBRE 2016'!$H$71+'[1]SEPTIEMBRE 2016'!$M$75+'[1]SEPTIEMBRE 2016'!$H$77+'[1]SEPTIEMBRE 2016'!$H$83+'[1]SEPTIEMBRE 2016'!$H$86</f>
        <v>958702317</v>
      </c>
      <c r="BW115" s="54">
        <f>+'[1]SEPTIEMBRE 2016'!$H$62+'[1]SEPTIEMBRE 2016'!$N$75</f>
        <v>37587370</v>
      </c>
      <c r="BX115" s="54"/>
      <c r="BY115" s="54"/>
      <c r="BZ115" s="54"/>
      <c r="CA115" s="54"/>
      <c r="CB115" s="54"/>
      <c r="CC115" s="54">
        <f>+'[1]SEPTIEMBRE 2016'!$H$85</f>
        <v>300000</v>
      </c>
      <c r="CD115" s="54">
        <f>+'[8]ABRIL 2016'!$H$34</f>
        <v>49856575</v>
      </c>
      <c r="CE115" s="54"/>
      <c r="CF115" s="54"/>
      <c r="CG115" s="54"/>
      <c r="CH115" s="54"/>
      <c r="CI115" s="54"/>
      <c r="CJ115" s="54"/>
      <c r="CK115" s="54"/>
      <c r="CL115" s="54"/>
      <c r="CM115" s="54">
        <f>+'[1]SEPTIEMBRE 2016'!$H$58+'[1]SEPTIEMBRE 2016'!$H$64+'[1]SEPTIEMBRE 2016'!$H$65+'[1]SEPTIEMBRE 2016'!$H$69+'[1]SEPTIEMBRE 2016'!$H$73+'[1]SEPTIEMBRE 2016'!$H$80+'[1]SEPTIEMBRE 2016'!$H$81</f>
        <v>12993551</v>
      </c>
      <c r="CN115" s="57">
        <f t="shared" si="127"/>
        <v>0.10789499995723206</v>
      </c>
      <c r="CO115" s="24">
        <f t="shared" si="152"/>
        <v>128133189</v>
      </c>
      <c r="CP115" s="24">
        <f t="shared" si="153"/>
        <v>0</v>
      </c>
      <c r="CQ115" s="54">
        <f t="shared" si="153"/>
        <v>74276416</v>
      </c>
      <c r="CR115" s="54">
        <f t="shared" si="153"/>
        <v>1474931</v>
      </c>
      <c r="CS115" s="54">
        <f t="shared" si="153"/>
        <v>0</v>
      </c>
      <c r="CT115" s="54">
        <f t="shared" si="153"/>
        <v>0</v>
      </c>
      <c r="CU115" s="24">
        <f t="shared" si="153"/>
        <v>0</v>
      </c>
      <c r="CV115" s="54">
        <f t="shared" si="154"/>
        <v>0</v>
      </c>
      <c r="CW115" s="54">
        <f t="shared" si="154"/>
        <v>0</v>
      </c>
      <c r="CX115" s="24">
        <f t="shared" si="154"/>
        <v>3138802</v>
      </c>
      <c r="CY115" s="54">
        <f t="shared" si="155"/>
        <v>143425</v>
      </c>
      <c r="CZ115" s="54">
        <f t="shared" si="155"/>
        <v>0</v>
      </c>
      <c r="DA115" s="54">
        <f t="shared" si="155"/>
        <v>0</v>
      </c>
      <c r="DB115" s="54">
        <f t="shared" si="156"/>
        <v>0</v>
      </c>
      <c r="DC115" s="54">
        <f t="shared" si="156"/>
        <v>0</v>
      </c>
      <c r="DD115" s="54">
        <f t="shared" si="156"/>
        <v>0</v>
      </c>
      <c r="DE115" s="54"/>
      <c r="DF115" s="54">
        <f t="shared" si="157"/>
        <v>0</v>
      </c>
      <c r="DG115" s="24">
        <f t="shared" si="157"/>
        <v>0</v>
      </c>
      <c r="DH115" s="54">
        <f t="shared" si="157"/>
        <v>49099615</v>
      </c>
      <c r="DJ115" s="29">
        <f t="shared" si="110"/>
        <v>1187573002</v>
      </c>
      <c r="DK115" s="29">
        <f t="shared" si="96"/>
        <v>1187573002</v>
      </c>
      <c r="DL115" s="29">
        <f t="shared" si="97"/>
        <v>1187573002</v>
      </c>
    </row>
    <row r="116" spans="1:116" ht="41.25" customHeight="1" x14ac:dyDescent="0.25">
      <c r="A116" s="238"/>
      <c r="B116" s="233"/>
      <c r="C116" s="69" t="s">
        <v>322</v>
      </c>
      <c r="D116" s="21" t="s">
        <v>323</v>
      </c>
      <c r="E116" s="94">
        <v>111</v>
      </c>
      <c r="F116" s="23" t="s">
        <v>324</v>
      </c>
      <c r="G116" s="24">
        <f t="shared" si="144"/>
        <v>152147109</v>
      </c>
      <c r="H116" s="24"/>
      <c r="I116" s="24"/>
      <c r="J116" s="24">
        <f>59490931+52147109</f>
        <v>111638040</v>
      </c>
      <c r="K116" s="24"/>
      <c r="L116" s="24"/>
      <c r="M116" s="24"/>
      <c r="N116" s="24"/>
      <c r="O116" s="24"/>
      <c r="P116" s="24"/>
      <c r="Q116" s="54">
        <f>140509069-100000000</f>
        <v>40509069</v>
      </c>
      <c r="R116" s="24"/>
      <c r="S116" s="24"/>
      <c r="T116" s="24"/>
      <c r="U116" s="24"/>
      <c r="V116" s="24"/>
      <c r="W116" s="24"/>
      <c r="X116" s="24"/>
      <c r="Y116" s="24"/>
      <c r="Z116" s="24"/>
      <c r="AA116" s="25">
        <f t="shared" si="117"/>
        <v>0.92162145519307892</v>
      </c>
      <c r="AB116" s="24">
        <f t="shared" si="145"/>
        <v>140222040</v>
      </c>
      <c r="AC116" s="24"/>
      <c r="AD116" s="24"/>
      <c r="AE116" s="24"/>
      <c r="AF116" s="24">
        <f>+'[1]SEPTIEMBRE 2016'!$N$92</f>
        <v>110222040</v>
      </c>
      <c r="AG116" s="24"/>
      <c r="AH116" s="24"/>
      <c r="AI116" s="24"/>
      <c r="AJ116" s="24"/>
      <c r="AK116" s="24"/>
      <c r="AL116" s="24"/>
      <c r="AM116" s="24">
        <f>+'[8]ABRIL 2016'!$U$50</f>
        <v>30000000</v>
      </c>
      <c r="AN116" s="24"/>
      <c r="AO116" s="24"/>
      <c r="AP116" s="24"/>
      <c r="AQ116" s="24"/>
      <c r="AR116" s="24"/>
      <c r="AS116" s="24"/>
      <c r="AT116" s="24"/>
      <c r="AU116" s="24"/>
      <c r="AV116" s="24"/>
      <c r="AW116" s="25">
        <f t="shared" si="119"/>
        <v>7.837854480692108E-2</v>
      </c>
      <c r="AX116" s="24">
        <f t="shared" si="146"/>
        <v>11925069</v>
      </c>
      <c r="AY116" s="24">
        <f t="shared" si="147"/>
        <v>0</v>
      </c>
      <c r="AZ116" s="24">
        <f t="shared" si="147"/>
        <v>0</v>
      </c>
      <c r="BA116" s="24">
        <f t="shared" si="147"/>
        <v>1416000</v>
      </c>
      <c r="BB116" s="24">
        <f t="shared" si="148"/>
        <v>0</v>
      </c>
      <c r="BC116" s="24">
        <f t="shared" si="148"/>
        <v>0</v>
      </c>
      <c r="BD116" s="24">
        <f t="shared" si="148"/>
        <v>0</v>
      </c>
      <c r="BE116" s="24">
        <f t="shared" si="148"/>
        <v>0</v>
      </c>
      <c r="BF116" s="24">
        <f t="shared" si="148"/>
        <v>0</v>
      </c>
      <c r="BG116" s="24">
        <f t="shared" si="148"/>
        <v>0</v>
      </c>
      <c r="BH116" s="24">
        <f t="shared" si="148"/>
        <v>10509069</v>
      </c>
      <c r="BI116" s="24">
        <f t="shared" si="148"/>
        <v>0</v>
      </c>
      <c r="BJ116" s="24">
        <f t="shared" si="148"/>
        <v>0</v>
      </c>
      <c r="BK116" s="24">
        <f t="shared" si="148"/>
        <v>0</v>
      </c>
      <c r="BL116" s="24">
        <f t="shared" si="148"/>
        <v>0</v>
      </c>
      <c r="BM116" s="24">
        <f t="shared" si="148"/>
        <v>0</v>
      </c>
      <c r="BN116" s="24"/>
      <c r="BO116" s="24"/>
      <c r="BP116" s="24">
        <f t="shared" si="149"/>
        <v>0</v>
      </c>
      <c r="BQ116" s="24">
        <f t="shared" si="150"/>
        <v>0</v>
      </c>
      <c r="BR116" s="25">
        <f t="shared" si="125"/>
        <v>0.92162140261238878</v>
      </c>
      <c r="BS116" s="24">
        <f t="shared" si="151"/>
        <v>140222032</v>
      </c>
      <c r="BT116" s="24"/>
      <c r="BU116" s="24"/>
      <c r="BV116" s="24"/>
      <c r="BW116" s="24">
        <f>+'[1]SEPTIEMBRE 2016'!$H$93+'[1]SEPTIEMBRE 2016'!$H$97+'[1]SEPTIEMBRE 2016'!$H$99</f>
        <v>110222032</v>
      </c>
      <c r="BX116" s="24"/>
      <c r="BY116" s="24"/>
      <c r="BZ116" s="24"/>
      <c r="CA116" s="24"/>
      <c r="CB116" s="24"/>
      <c r="CC116" s="24"/>
      <c r="CD116" s="24">
        <f>+'[7]MAYO 2016'!$H$62</f>
        <v>30000000</v>
      </c>
      <c r="CE116" s="24"/>
      <c r="CF116" s="24"/>
      <c r="CG116" s="24"/>
      <c r="CH116" s="24"/>
      <c r="CI116" s="24"/>
      <c r="CJ116" s="24"/>
      <c r="CK116" s="24"/>
      <c r="CL116" s="24"/>
      <c r="CM116" s="24"/>
      <c r="CN116" s="25">
        <f t="shared" si="127"/>
        <v>7.8378597387611215E-2</v>
      </c>
      <c r="CO116" s="24">
        <f t="shared" si="152"/>
        <v>11925077</v>
      </c>
      <c r="CP116" s="24">
        <f t="shared" si="153"/>
        <v>0</v>
      </c>
      <c r="CQ116" s="24">
        <f t="shared" si="153"/>
        <v>0</v>
      </c>
      <c r="CR116" s="24">
        <f t="shared" si="153"/>
        <v>1416008</v>
      </c>
      <c r="CS116" s="24">
        <f t="shared" si="153"/>
        <v>0</v>
      </c>
      <c r="CT116" s="24">
        <f t="shared" si="153"/>
        <v>0</v>
      </c>
      <c r="CU116" s="24">
        <f t="shared" si="153"/>
        <v>0</v>
      </c>
      <c r="CV116" s="24">
        <f t="shared" si="154"/>
        <v>0</v>
      </c>
      <c r="CW116" s="24">
        <f t="shared" si="154"/>
        <v>0</v>
      </c>
      <c r="CX116" s="24">
        <f t="shared" si="154"/>
        <v>0</v>
      </c>
      <c r="CY116" s="24">
        <f t="shared" si="155"/>
        <v>10509069</v>
      </c>
      <c r="CZ116" s="24">
        <f t="shared" si="155"/>
        <v>0</v>
      </c>
      <c r="DA116" s="24">
        <f t="shared" si="155"/>
        <v>0</v>
      </c>
      <c r="DB116" s="24">
        <f t="shared" si="156"/>
        <v>0</v>
      </c>
      <c r="DC116" s="24">
        <f t="shared" si="156"/>
        <v>0</v>
      </c>
      <c r="DD116" s="24">
        <f t="shared" si="156"/>
        <v>0</v>
      </c>
      <c r="DE116" s="24"/>
      <c r="DF116" s="24">
        <f t="shared" si="157"/>
        <v>0</v>
      </c>
      <c r="DG116" s="24">
        <f t="shared" si="157"/>
        <v>0</v>
      </c>
      <c r="DH116" s="24">
        <f t="shared" si="157"/>
        <v>0</v>
      </c>
      <c r="DI116" s="43"/>
      <c r="DJ116" s="29">
        <f t="shared" si="110"/>
        <v>152147109</v>
      </c>
      <c r="DK116" s="29">
        <f t="shared" si="96"/>
        <v>152147109</v>
      </c>
      <c r="DL116" s="29">
        <f t="shared" si="97"/>
        <v>152147109</v>
      </c>
    </row>
    <row r="117" spans="1:116" ht="47.25" customHeight="1" x14ac:dyDescent="0.25">
      <c r="A117" s="238"/>
      <c r="B117" s="231" t="s">
        <v>325</v>
      </c>
      <c r="C117" s="69" t="s">
        <v>326</v>
      </c>
      <c r="D117" s="21" t="s">
        <v>327</v>
      </c>
      <c r="E117" s="94">
        <v>211</v>
      </c>
      <c r="F117" s="23" t="s">
        <v>328</v>
      </c>
      <c r="G117" s="24">
        <f t="shared" si="144"/>
        <v>2140419657</v>
      </c>
      <c r="H117" s="24"/>
      <c r="I117" s="24">
        <f>2300000000-500000000+260540160</f>
        <v>2060540160</v>
      </c>
      <c r="J117" s="24"/>
      <c r="K117" s="24"/>
      <c r="L117" s="24"/>
      <c r="M117" s="24"/>
      <c r="N117" s="24"/>
      <c r="O117" s="24"/>
      <c r="P117" s="24"/>
      <c r="Q117" s="24">
        <f>70000000</f>
        <v>70000000</v>
      </c>
      <c r="R117" s="24"/>
      <c r="S117" s="24"/>
      <c r="T117" s="24"/>
      <c r="U117" s="24"/>
      <c r="V117" s="24"/>
      <c r="W117" s="24"/>
      <c r="X117" s="24"/>
      <c r="Y117" s="24"/>
      <c r="Z117" s="24">
        <f>9879497</f>
        <v>9879497</v>
      </c>
      <c r="AA117" s="25">
        <f t="shared" si="117"/>
        <v>0.60972711904037613</v>
      </c>
      <c r="AB117" s="24">
        <f t="shared" si="145"/>
        <v>1305071911</v>
      </c>
      <c r="AC117" s="24"/>
      <c r="AD117" s="24"/>
      <c r="AE117" s="24">
        <f>+'[1]SEPTIEMBRE 2016'!$M$110</f>
        <v>1225205791</v>
      </c>
      <c r="AF117" s="24"/>
      <c r="AG117" s="24"/>
      <c r="AH117" s="24"/>
      <c r="AI117" s="24"/>
      <c r="AJ117" s="24"/>
      <c r="AK117" s="24"/>
      <c r="AL117" s="24"/>
      <c r="AM117" s="24">
        <f>+'[7]MAYO 2016'!$U$75</f>
        <v>70000000</v>
      </c>
      <c r="AN117" s="24"/>
      <c r="AO117" s="24"/>
      <c r="AP117" s="24"/>
      <c r="AQ117" s="24"/>
      <c r="AR117" s="24"/>
      <c r="AS117" s="24"/>
      <c r="AT117" s="24"/>
      <c r="AU117" s="24"/>
      <c r="AV117" s="24">
        <f>+'[7]MAYO 2016'!$AG$75</f>
        <v>9866120</v>
      </c>
      <c r="AW117" s="25">
        <f t="shared" si="119"/>
        <v>0.39027288095962387</v>
      </c>
      <c r="AX117" s="24">
        <f t="shared" si="146"/>
        <v>835347746</v>
      </c>
      <c r="AY117" s="24">
        <f t="shared" si="147"/>
        <v>0</v>
      </c>
      <c r="AZ117" s="24">
        <f t="shared" si="147"/>
        <v>835334369</v>
      </c>
      <c r="BA117" s="24">
        <f t="shared" si="147"/>
        <v>0</v>
      </c>
      <c r="BB117" s="24">
        <f t="shared" si="148"/>
        <v>0</v>
      </c>
      <c r="BC117" s="24">
        <f t="shared" si="148"/>
        <v>0</v>
      </c>
      <c r="BD117" s="24">
        <f t="shared" si="148"/>
        <v>0</v>
      </c>
      <c r="BE117" s="24">
        <f t="shared" si="148"/>
        <v>0</v>
      </c>
      <c r="BF117" s="24">
        <f t="shared" si="148"/>
        <v>0</v>
      </c>
      <c r="BG117" s="24">
        <f t="shared" si="148"/>
        <v>0</v>
      </c>
      <c r="BH117" s="24">
        <f t="shared" si="148"/>
        <v>0</v>
      </c>
      <c r="BI117" s="24">
        <f t="shared" si="148"/>
        <v>0</v>
      </c>
      <c r="BJ117" s="24">
        <f t="shared" si="148"/>
        <v>0</v>
      </c>
      <c r="BK117" s="24">
        <f t="shared" si="148"/>
        <v>0</v>
      </c>
      <c r="BL117" s="24">
        <f t="shared" si="148"/>
        <v>0</v>
      </c>
      <c r="BM117" s="24">
        <f t="shared" si="148"/>
        <v>0</v>
      </c>
      <c r="BN117" s="24"/>
      <c r="BO117" s="24"/>
      <c r="BP117" s="24">
        <f t="shared" si="149"/>
        <v>0</v>
      </c>
      <c r="BQ117" s="24">
        <f t="shared" si="150"/>
        <v>13377</v>
      </c>
      <c r="BR117" s="25">
        <f t="shared" si="125"/>
        <v>0.45452335238014496</v>
      </c>
      <c r="BS117" s="24">
        <f t="shared" si="151"/>
        <v>972870718</v>
      </c>
      <c r="BT117" s="24"/>
      <c r="BU117" s="24"/>
      <c r="BV117" s="24">
        <f>+'[1]SEPTIEMBRE 2016'!$H$111+'[1]SEPTIEMBRE 2016'!$H$115+'[1]SEPTIEMBRE 2016'!$H$120+'[1]SEPTIEMBRE 2016'!$H$122+'[1]SEPTIEMBRE 2016'!$H$124+'[1]SEPTIEMBRE 2016'!$H$126+'[1]SEPTIEMBRE 2016'!$H$127+'[1]SEPTIEMBRE 2016'!$H$133+'[1]SEPTIEMBRE 2016'!$H$137+'[1]SEPTIEMBRE 2016'!$H$139+'[1]SEPTIEMBRE 2016'!$H$141+'[1]SEPTIEMBRE 2016'!$H$143+'[1]SEPTIEMBRE 2016'!$H$145+'[1]SEPTIEMBRE 2016'!$H$147+'[1]SEPTIEMBRE 2016'!$H$149+'[1]SEPTIEMBRE 2016'!$H$153+'[1]SEPTIEMBRE 2016'!$H$155+'[1]SEPTIEMBRE 2016'!$H$157+'[1]SEPTIEMBRE 2016'!$H$159+'[1]SEPTIEMBRE 2016'!$H$161</f>
        <v>927748448</v>
      </c>
      <c r="BW117" s="24"/>
      <c r="BX117" s="24"/>
      <c r="BY117" s="24"/>
      <c r="BZ117" s="24"/>
      <c r="CA117" s="24"/>
      <c r="CB117" s="24"/>
      <c r="CC117" s="24"/>
      <c r="CD117" s="24">
        <f>+'[1]SEPTIEMBRE 2016'!$H$113</f>
        <v>35256150</v>
      </c>
      <c r="CE117" s="24"/>
      <c r="CF117" s="24"/>
      <c r="CG117" s="24"/>
      <c r="CH117" s="24"/>
      <c r="CI117" s="24"/>
      <c r="CJ117" s="24"/>
      <c r="CK117" s="24"/>
      <c r="CL117" s="24"/>
      <c r="CM117" s="24">
        <f>+'[7]MAYO 2016'!$H$91</f>
        <v>9866120</v>
      </c>
      <c r="CN117" s="25">
        <f t="shared" si="127"/>
        <v>0.54547664761985504</v>
      </c>
      <c r="CO117" s="24">
        <f t="shared" si="152"/>
        <v>1167548939</v>
      </c>
      <c r="CP117" s="24">
        <f t="shared" si="153"/>
        <v>0</v>
      </c>
      <c r="CQ117" s="24">
        <f t="shared" si="153"/>
        <v>1132791712</v>
      </c>
      <c r="CR117" s="24">
        <f t="shared" si="153"/>
        <v>0</v>
      </c>
      <c r="CS117" s="24">
        <f t="shared" si="153"/>
        <v>0</v>
      </c>
      <c r="CT117" s="24">
        <f t="shared" si="153"/>
        <v>0</v>
      </c>
      <c r="CU117" s="24">
        <f t="shared" si="153"/>
        <v>0</v>
      </c>
      <c r="CV117" s="24">
        <f t="shared" si="154"/>
        <v>0</v>
      </c>
      <c r="CW117" s="24">
        <f t="shared" si="154"/>
        <v>0</v>
      </c>
      <c r="CX117" s="24">
        <f t="shared" si="154"/>
        <v>0</v>
      </c>
      <c r="CY117" s="24">
        <f t="shared" si="155"/>
        <v>34743850</v>
      </c>
      <c r="CZ117" s="24">
        <f t="shared" si="155"/>
        <v>0</v>
      </c>
      <c r="DA117" s="24">
        <f t="shared" si="155"/>
        <v>0</v>
      </c>
      <c r="DB117" s="24">
        <f t="shared" si="156"/>
        <v>0</v>
      </c>
      <c r="DC117" s="24">
        <f t="shared" si="156"/>
        <v>0</v>
      </c>
      <c r="DD117" s="24">
        <f t="shared" si="156"/>
        <v>0</v>
      </c>
      <c r="DE117" s="24"/>
      <c r="DF117" s="24">
        <f t="shared" si="157"/>
        <v>0</v>
      </c>
      <c r="DG117" s="24">
        <f t="shared" si="157"/>
        <v>0</v>
      </c>
      <c r="DH117" s="24">
        <f t="shared" si="157"/>
        <v>13377</v>
      </c>
      <c r="DJ117" s="29">
        <f t="shared" si="110"/>
        <v>2140419657</v>
      </c>
      <c r="DK117" s="29">
        <f t="shared" si="96"/>
        <v>2140419657</v>
      </c>
      <c r="DL117" s="29">
        <f t="shared" si="97"/>
        <v>2140419657</v>
      </c>
    </row>
    <row r="118" spans="1:116" ht="50.25" customHeight="1" x14ac:dyDescent="0.25">
      <c r="A118" s="238"/>
      <c r="B118" s="232"/>
      <c r="C118" s="69" t="s">
        <v>329</v>
      </c>
      <c r="D118" s="95" t="s">
        <v>330</v>
      </c>
      <c r="E118" s="94">
        <v>211</v>
      </c>
      <c r="F118" s="23" t="s">
        <v>324</v>
      </c>
      <c r="G118" s="24">
        <f t="shared" si="144"/>
        <v>343861405</v>
      </c>
      <c r="H118" s="24"/>
      <c r="I118" s="24">
        <f>170000000+50000000-35570983</f>
        <v>184429017</v>
      </c>
      <c r="J118" s="24"/>
      <c r="K118" s="24"/>
      <c r="L118" s="24"/>
      <c r="M118" s="24"/>
      <c r="N118" s="24"/>
      <c r="O118" s="24"/>
      <c r="P118" s="24"/>
      <c r="Q118" s="24">
        <v>10432388</v>
      </c>
      <c r="R118" s="24"/>
      <c r="S118" s="24">
        <v>130000000</v>
      </c>
      <c r="T118" s="24"/>
      <c r="U118" s="24"/>
      <c r="V118" s="24"/>
      <c r="W118" s="24"/>
      <c r="X118" s="24"/>
      <c r="Y118" s="24"/>
      <c r="Z118" s="24">
        <v>19000000</v>
      </c>
      <c r="AA118" s="25">
        <f t="shared" si="117"/>
        <v>0.57058074604214448</v>
      </c>
      <c r="AB118" s="24">
        <f t="shared" si="145"/>
        <v>196200697</v>
      </c>
      <c r="AC118" s="24"/>
      <c r="AD118" s="24"/>
      <c r="AE118" s="24">
        <f>+'[1]SEPTIEMBRE 2016'!$M$166</f>
        <v>183524217</v>
      </c>
      <c r="AF118" s="24"/>
      <c r="AG118" s="24"/>
      <c r="AH118" s="24"/>
      <c r="AI118" s="24"/>
      <c r="AJ118" s="24"/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>
        <f>+'[1]SEPTIEMBRE 2016'!$AG$166</f>
        <v>12676480</v>
      </c>
      <c r="AW118" s="25">
        <f t="shared" si="119"/>
        <v>0.42941925395785552</v>
      </c>
      <c r="AX118" s="24">
        <f t="shared" si="146"/>
        <v>147660708</v>
      </c>
      <c r="AY118" s="24">
        <f t="shared" si="147"/>
        <v>0</v>
      </c>
      <c r="AZ118" s="24">
        <f t="shared" si="147"/>
        <v>904800</v>
      </c>
      <c r="BA118" s="24">
        <f t="shared" si="147"/>
        <v>0</v>
      </c>
      <c r="BB118" s="24">
        <f t="shared" si="148"/>
        <v>0</v>
      </c>
      <c r="BC118" s="24">
        <f t="shared" si="148"/>
        <v>0</v>
      </c>
      <c r="BD118" s="24">
        <f t="shared" si="148"/>
        <v>0</v>
      </c>
      <c r="BE118" s="24">
        <f t="shared" si="148"/>
        <v>0</v>
      </c>
      <c r="BF118" s="24">
        <f t="shared" si="148"/>
        <v>0</v>
      </c>
      <c r="BG118" s="24">
        <f t="shared" si="148"/>
        <v>0</v>
      </c>
      <c r="BH118" s="24">
        <f t="shared" si="148"/>
        <v>10432388</v>
      </c>
      <c r="BI118" s="24">
        <f t="shared" si="148"/>
        <v>0</v>
      </c>
      <c r="BJ118" s="24">
        <f t="shared" si="148"/>
        <v>130000000</v>
      </c>
      <c r="BK118" s="24">
        <f t="shared" si="148"/>
        <v>0</v>
      </c>
      <c r="BL118" s="24">
        <f t="shared" si="148"/>
        <v>0</v>
      </c>
      <c r="BM118" s="24">
        <f t="shared" si="148"/>
        <v>0</v>
      </c>
      <c r="BN118" s="24"/>
      <c r="BO118" s="24"/>
      <c r="BP118" s="24">
        <f t="shared" si="149"/>
        <v>0</v>
      </c>
      <c r="BQ118" s="24">
        <f t="shared" si="150"/>
        <v>6323520</v>
      </c>
      <c r="BR118" s="25">
        <f t="shared" si="125"/>
        <v>0.53357967579990551</v>
      </c>
      <c r="BS118" s="24">
        <f t="shared" si="151"/>
        <v>183477457</v>
      </c>
      <c r="BT118" s="24"/>
      <c r="BU118" s="24"/>
      <c r="BV118" s="24">
        <f>+'[1]SEPTIEMBRE 2016'!$H$167+'[1]SEPTIEMBRE 2016'!$H$176+'[1]SEPTIEMBRE 2016'!$H$178+'[1]SEPTIEMBRE 2016'!$H$179+'[1]SEPTIEMBRE 2016'!$H$181+'[1]SEPTIEMBRE 2016'!$H$184+'[1]SEPTIEMBRE 2016'!$H$187+'[1]SEPTIEMBRE 2016'!$H$189+'[1]SEPTIEMBRE 2016'!$H$191</f>
        <v>183477457</v>
      </c>
      <c r="BW118" s="24"/>
      <c r="BX118" s="24"/>
      <c r="BY118" s="24"/>
      <c r="BZ118" s="24"/>
      <c r="CA118" s="24"/>
      <c r="CB118" s="24"/>
      <c r="CC118" s="24"/>
      <c r="CD118" s="24"/>
      <c r="CE118" s="24"/>
      <c r="CF118" s="24"/>
      <c r="CG118" s="24"/>
      <c r="CH118" s="24"/>
      <c r="CI118" s="24"/>
      <c r="CJ118" s="24"/>
      <c r="CK118" s="24"/>
      <c r="CL118" s="24"/>
      <c r="CM118" s="24"/>
      <c r="CN118" s="25">
        <f t="shared" si="127"/>
        <v>0.46642032420009449</v>
      </c>
      <c r="CO118" s="24">
        <f t="shared" si="152"/>
        <v>160383948</v>
      </c>
      <c r="CP118" s="24">
        <f t="shared" si="153"/>
        <v>0</v>
      </c>
      <c r="CQ118" s="24">
        <f t="shared" si="153"/>
        <v>951560</v>
      </c>
      <c r="CR118" s="24">
        <f t="shared" si="153"/>
        <v>0</v>
      </c>
      <c r="CS118" s="24">
        <f t="shared" si="153"/>
        <v>0</v>
      </c>
      <c r="CT118" s="24">
        <f t="shared" si="153"/>
        <v>0</v>
      </c>
      <c r="CU118" s="24">
        <f t="shared" si="153"/>
        <v>0</v>
      </c>
      <c r="CV118" s="24">
        <f t="shared" si="154"/>
        <v>0</v>
      </c>
      <c r="CW118" s="24">
        <f t="shared" si="154"/>
        <v>0</v>
      </c>
      <c r="CX118" s="24">
        <f t="shared" si="154"/>
        <v>0</v>
      </c>
      <c r="CY118" s="24">
        <f t="shared" si="155"/>
        <v>10432388</v>
      </c>
      <c r="CZ118" s="24">
        <f t="shared" si="155"/>
        <v>0</v>
      </c>
      <c r="DA118" s="24">
        <f t="shared" si="155"/>
        <v>130000000</v>
      </c>
      <c r="DB118" s="24">
        <f t="shared" si="156"/>
        <v>0</v>
      </c>
      <c r="DC118" s="24">
        <f t="shared" si="156"/>
        <v>0</v>
      </c>
      <c r="DD118" s="24">
        <f t="shared" si="156"/>
        <v>0</v>
      </c>
      <c r="DE118" s="24"/>
      <c r="DF118" s="24">
        <f t="shared" si="157"/>
        <v>0</v>
      </c>
      <c r="DG118" s="24">
        <f t="shared" si="157"/>
        <v>0</v>
      </c>
      <c r="DH118" s="24">
        <f t="shared" si="157"/>
        <v>19000000</v>
      </c>
      <c r="DJ118" s="29">
        <f t="shared" si="110"/>
        <v>343861405</v>
      </c>
      <c r="DK118" s="29">
        <f t="shared" si="96"/>
        <v>343861405</v>
      </c>
      <c r="DL118" s="29">
        <f t="shared" si="97"/>
        <v>343861405</v>
      </c>
    </row>
    <row r="119" spans="1:116" s="58" customFormat="1" ht="33" customHeight="1" x14ac:dyDescent="0.25">
      <c r="A119" s="238"/>
      <c r="B119" s="232"/>
      <c r="C119" s="55" t="s">
        <v>331</v>
      </c>
      <c r="D119" s="21" t="s">
        <v>332</v>
      </c>
      <c r="E119" s="89">
        <v>211</v>
      </c>
      <c r="F119" s="23" t="s">
        <v>333</v>
      </c>
      <c r="G119" s="24">
        <f t="shared" si="144"/>
        <v>316552303</v>
      </c>
      <c r="H119" s="28"/>
      <c r="I119" s="54">
        <f>453535209-155982906</f>
        <v>297552303</v>
      </c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>
        <f>6000000+13000000</f>
        <v>19000000</v>
      </c>
      <c r="AA119" s="57">
        <f t="shared" si="117"/>
        <v>0.98104578629459538</v>
      </c>
      <c r="AB119" s="24">
        <f t="shared" si="145"/>
        <v>310552303</v>
      </c>
      <c r="AC119" s="54"/>
      <c r="AD119" s="54"/>
      <c r="AE119" s="54">
        <f>+'[1]SEPTIEMBRE 2016'!$M$202</f>
        <v>297552303</v>
      </c>
      <c r="AF119" s="54"/>
      <c r="AG119" s="54"/>
      <c r="AH119" s="54"/>
      <c r="AI119" s="54"/>
      <c r="AJ119" s="54"/>
      <c r="AK119" s="54"/>
      <c r="AL119" s="54"/>
      <c r="AM119" s="54"/>
      <c r="AN119" s="54"/>
      <c r="AO119" s="54"/>
      <c r="AP119" s="54"/>
      <c r="AQ119" s="54"/>
      <c r="AR119" s="54"/>
      <c r="AS119" s="54"/>
      <c r="AT119" s="54"/>
      <c r="AU119" s="54"/>
      <c r="AV119" s="54">
        <f>+'[1]SEPTIEMBRE 2016'!$AG$202</f>
        <v>13000000</v>
      </c>
      <c r="AW119" s="57">
        <f t="shared" si="119"/>
        <v>1.8954213705404621E-2</v>
      </c>
      <c r="AX119" s="24">
        <f t="shared" si="146"/>
        <v>6000000</v>
      </c>
      <c r="AY119" s="54">
        <f t="shared" si="147"/>
        <v>0</v>
      </c>
      <c r="AZ119" s="54">
        <f t="shared" si="147"/>
        <v>0</v>
      </c>
      <c r="BA119" s="54">
        <f t="shared" si="147"/>
        <v>0</v>
      </c>
      <c r="BB119" s="54">
        <f t="shared" si="148"/>
        <v>0</v>
      </c>
      <c r="BC119" s="54">
        <f t="shared" si="148"/>
        <v>0</v>
      </c>
      <c r="BD119" s="24">
        <f t="shared" si="148"/>
        <v>0</v>
      </c>
      <c r="BE119" s="54">
        <f t="shared" si="148"/>
        <v>0</v>
      </c>
      <c r="BF119" s="54">
        <f t="shared" si="148"/>
        <v>0</v>
      </c>
      <c r="BG119" s="54">
        <f t="shared" si="148"/>
        <v>0</v>
      </c>
      <c r="BH119" s="54">
        <f t="shared" si="148"/>
        <v>0</v>
      </c>
      <c r="BI119" s="54">
        <f t="shared" si="148"/>
        <v>0</v>
      </c>
      <c r="BJ119" s="54">
        <f t="shared" si="148"/>
        <v>0</v>
      </c>
      <c r="BK119" s="54">
        <f t="shared" si="148"/>
        <v>0</v>
      </c>
      <c r="BL119" s="54">
        <f t="shared" si="148"/>
        <v>0</v>
      </c>
      <c r="BM119" s="54">
        <f t="shared" si="148"/>
        <v>0</v>
      </c>
      <c r="BN119" s="54"/>
      <c r="BO119" s="54"/>
      <c r="BP119" s="24">
        <f t="shared" si="149"/>
        <v>0</v>
      </c>
      <c r="BQ119" s="54">
        <f t="shared" si="150"/>
        <v>6000000</v>
      </c>
      <c r="BR119" s="57">
        <f t="shared" si="125"/>
        <v>0.36935075465238359</v>
      </c>
      <c r="BS119" s="24">
        <f t="shared" si="151"/>
        <v>116918832</v>
      </c>
      <c r="BT119" s="54"/>
      <c r="BU119" s="54"/>
      <c r="BV119" s="54">
        <f>+'[1]SEPTIEMBRE 2016'!$H$203+'[1]SEPTIEMBRE 2016'!$H$206</f>
        <v>103918832</v>
      </c>
      <c r="BW119" s="54"/>
      <c r="BX119" s="54"/>
      <c r="BY119" s="54"/>
      <c r="BZ119" s="54"/>
      <c r="CA119" s="54"/>
      <c r="CB119" s="54"/>
      <c r="CC119" s="54"/>
      <c r="CD119" s="54"/>
      <c r="CE119" s="54"/>
      <c r="CF119" s="54"/>
      <c r="CG119" s="54"/>
      <c r="CH119" s="54"/>
      <c r="CI119" s="54"/>
      <c r="CJ119" s="54"/>
      <c r="CK119" s="54"/>
      <c r="CL119" s="54"/>
      <c r="CM119" s="54">
        <f>+'[1]SEPTIEMBRE 2016'!$H$209</f>
        <v>13000000</v>
      </c>
      <c r="CN119" s="57">
        <f t="shared" si="127"/>
        <v>0.63064924534761646</v>
      </c>
      <c r="CO119" s="24">
        <f t="shared" si="152"/>
        <v>199633471</v>
      </c>
      <c r="CP119" s="24">
        <f t="shared" si="153"/>
        <v>0</v>
      </c>
      <c r="CQ119" s="54">
        <f t="shared" si="153"/>
        <v>193633471</v>
      </c>
      <c r="CR119" s="54">
        <f t="shared" si="153"/>
        <v>0</v>
      </c>
      <c r="CS119" s="54">
        <f t="shared" si="153"/>
        <v>0</v>
      </c>
      <c r="CT119" s="54">
        <f t="shared" si="153"/>
        <v>0</v>
      </c>
      <c r="CU119" s="24">
        <f t="shared" si="153"/>
        <v>0</v>
      </c>
      <c r="CV119" s="54">
        <f t="shared" si="154"/>
        <v>0</v>
      </c>
      <c r="CW119" s="54">
        <f t="shared" si="154"/>
        <v>0</v>
      </c>
      <c r="CX119" s="24">
        <f t="shared" si="154"/>
        <v>0</v>
      </c>
      <c r="CY119" s="54">
        <f t="shared" si="155"/>
        <v>0</v>
      </c>
      <c r="CZ119" s="54">
        <f t="shared" si="155"/>
        <v>0</v>
      </c>
      <c r="DA119" s="54">
        <f t="shared" si="155"/>
        <v>0</v>
      </c>
      <c r="DB119" s="54">
        <f t="shared" si="156"/>
        <v>0</v>
      </c>
      <c r="DC119" s="54">
        <f t="shared" si="156"/>
        <v>0</v>
      </c>
      <c r="DD119" s="54">
        <f t="shared" si="156"/>
        <v>0</v>
      </c>
      <c r="DE119" s="54"/>
      <c r="DF119" s="54">
        <f t="shared" si="157"/>
        <v>0</v>
      </c>
      <c r="DG119" s="54">
        <f t="shared" si="157"/>
        <v>0</v>
      </c>
      <c r="DH119" s="54">
        <f t="shared" si="157"/>
        <v>6000000</v>
      </c>
      <c r="DJ119" s="29">
        <f t="shared" si="110"/>
        <v>316552303</v>
      </c>
      <c r="DK119" s="29">
        <f t="shared" si="96"/>
        <v>316552303</v>
      </c>
      <c r="DL119" s="29">
        <f t="shared" si="97"/>
        <v>316552303</v>
      </c>
    </row>
    <row r="120" spans="1:116" ht="95.25" customHeight="1" x14ac:dyDescent="0.25">
      <c r="A120" s="238"/>
      <c r="B120" s="232"/>
      <c r="C120" s="69" t="s">
        <v>334</v>
      </c>
      <c r="D120" s="21" t="s">
        <v>335</v>
      </c>
      <c r="E120" s="94">
        <v>211</v>
      </c>
      <c r="F120" s="23" t="s">
        <v>336</v>
      </c>
      <c r="G120" s="24">
        <f t="shared" si="144"/>
        <v>447777768</v>
      </c>
      <c r="H120" s="33"/>
      <c r="I120" s="24">
        <v>300000000</v>
      </c>
      <c r="J120" s="24"/>
      <c r="K120" s="24"/>
      <c r="L120" s="24"/>
      <c r="M120" s="24"/>
      <c r="N120" s="24"/>
      <c r="O120" s="24"/>
      <c r="P120" s="24"/>
      <c r="Q120" s="24">
        <v>15000000</v>
      </c>
      <c r="R120" s="24"/>
      <c r="S120" s="24"/>
      <c r="T120" s="24"/>
      <c r="U120" s="24"/>
      <c r="V120" s="24"/>
      <c r="W120" s="24"/>
      <c r="X120" s="24"/>
      <c r="Y120" s="24"/>
      <c r="Z120" s="24">
        <f>105607498+8000000+9000000-4000000+8000000-30000000+9956624+26213646</f>
        <v>132777768</v>
      </c>
      <c r="AA120" s="25">
        <f t="shared" si="117"/>
        <v>0.90015452263364715</v>
      </c>
      <c r="AB120" s="24">
        <f t="shared" si="145"/>
        <v>403069183</v>
      </c>
      <c r="AC120" s="24"/>
      <c r="AD120" s="24"/>
      <c r="AE120" s="24">
        <f>+'[1]SEPTIEMBRE 2016'!$M$216</f>
        <v>299974318</v>
      </c>
      <c r="AF120" s="24"/>
      <c r="AG120" s="24"/>
      <c r="AH120" s="24"/>
      <c r="AI120" s="24"/>
      <c r="AJ120" s="24"/>
      <c r="AK120" s="24"/>
      <c r="AL120" s="24"/>
      <c r="AM120" s="24">
        <v>15000000</v>
      </c>
      <c r="AN120" s="24"/>
      <c r="AO120" s="24"/>
      <c r="AP120" s="24"/>
      <c r="AQ120" s="24"/>
      <c r="AR120" s="24"/>
      <c r="AS120" s="24"/>
      <c r="AT120" s="24"/>
      <c r="AU120" s="24"/>
      <c r="AV120" s="24">
        <f>+'[1]SEPTIEMBRE 2016'!$AG$216</f>
        <v>88094865</v>
      </c>
      <c r="AW120" s="25">
        <f t="shared" si="119"/>
        <v>9.9845477366352853E-2</v>
      </c>
      <c r="AX120" s="24">
        <f t="shared" si="146"/>
        <v>44708585</v>
      </c>
      <c r="AY120" s="24">
        <f t="shared" si="147"/>
        <v>0</v>
      </c>
      <c r="AZ120" s="24">
        <f t="shared" si="147"/>
        <v>25682</v>
      </c>
      <c r="BA120" s="24">
        <f t="shared" si="147"/>
        <v>0</v>
      </c>
      <c r="BB120" s="24">
        <f t="shared" si="148"/>
        <v>0</v>
      </c>
      <c r="BC120" s="24">
        <f t="shared" si="148"/>
        <v>0</v>
      </c>
      <c r="BD120" s="24">
        <f t="shared" si="148"/>
        <v>0</v>
      </c>
      <c r="BE120" s="24">
        <f t="shared" si="148"/>
        <v>0</v>
      </c>
      <c r="BF120" s="24">
        <f t="shared" si="148"/>
        <v>0</v>
      </c>
      <c r="BG120" s="24">
        <f t="shared" si="148"/>
        <v>0</v>
      </c>
      <c r="BH120" s="24">
        <f t="shared" si="148"/>
        <v>0</v>
      </c>
      <c r="BI120" s="24">
        <f t="shared" si="148"/>
        <v>0</v>
      </c>
      <c r="BJ120" s="24">
        <f t="shared" si="148"/>
        <v>0</v>
      </c>
      <c r="BK120" s="24">
        <f t="shared" si="148"/>
        <v>0</v>
      </c>
      <c r="BL120" s="24">
        <f t="shared" si="148"/>
        <v>0</v>
      </c>
      <c r="BM120" s="24">
        <f t="shared" si="148"/>
        <v>0</v>
      </c>
      <c r="BN120" s="24"/>
      <c r="BO120" s="24"/>
      <c r="BP120" s="24">
        <f t="shared" si="149"/>
        <v>0</v>
      </c>
      <c r="BQ120" s="24">
        <f t="shared" si="150"/>
        <v>44682903</v>
      </c>
      <c r="BR120" s="25">
        <f t="shared" si="125"/>
        <v>0.37360528582562413</v>
      </c>
      <c r="BS120" s="24">
        <f t="shared" si="151"/>
        <v>167292141</v>
      </c>
      <c r="BT120" s="24"/>
      <c r="BU120" s="24"/>
      <c r="BV120" s="24">
        <f>+'[1]SEPTIEMBRE 2016'!$H$219+'[1]SEPTIEMBRE 2016'!$H$221+'[1]SEPTIEMBRE 2016'!$H$227+'[1]SEPTIEMBRE 2016'!$H$229+'[1]SEPTIEMBRE 2016'!$H$243</f>
        <v>67044976</v>
      </c>
      <c r="BW120" s="24"/>
      <c r="BX120" s="24"/>
      <c r="BY120" s="24"/>
      <c r="BZ120" s="24"/>
      <c r="CA120" s="24"/>
      <c r="CB120" s="24"/>
      <c r="CC120" s="24"/>
      <c r="CD120" s="24">
        <f>+'[9]MARZO 2016 ULTIMO'!$H$88</f>
        <v>15000000</v>
      </c>
      <c r="CE120" s="24"/>
      <c r="CF120" s="24"/>
      <c r="CG120" s="24"/>
      <c r="CH120" s="24"/>
      <c r="CI120" s="24"/>
      <c r="CJ120" s="24"/>
      <c r="CK120" s="24"/>
      <c r="CL120" s="24"/>
      <c r="CM120" s="24">
        <f>+'[1]SEPTIEMBRE 2016'!$H$223+'[1]SEPTIEMBRE 2016'!$H$225+'[1]SEPTIEMBRE 2016'!$H$232+'[1]SEPTIEMBRE 2016'!$H$234+'[1]SEPTIEMBRE 2016'!$H$236+'[1]SEPTIEMBRE 2016'!$H$237+'[1]SEPTIEMBRE 2016'!$H$238+'[1]SEPTIEMBRE 2016'!$H$239+'[1]SEPTIEMBRE 2016'!$H$240+'[1]SEPTIEMBRE 2016'!$H$241+'[1]SEPTIEMBRE 2016'!$H$245+'[1]SEPTIEMBRE 2016'!$H$247+'[1]SEPTIEMBRE 2016'!$H$249+'[1]SEPTIEMBRE 2016'!$H$251+'[1]SEPTIEMBRE 2016'!$H$253+'[1]SEPTIEMBRE 2016'!$H$255</f>
        <v>85247165</v>
      </c>
      <c r="CN120" s="25">
        <f t="shared" si="127"/>
        <v>0.62639471417437587</v>
      </c>
      <c r="CO120" s="24">
        <f t="shared" si="152"/>
        <v>280485627</v>
      </c>
      <c r="CP120" s="24">
        <f t="shared" si="153"/>
        <v>0</v>
      </c>
      <c r="CQ120" s="24">
        <f t="shared" si="153"/>
        <v>232955024</v>
      </c>
      <c r="CR120" s="24">
        <f t="shared" si="153"/>
        <v>0</v>
      </c>
      <c r="CS120" s="24">
        <f t="shared" si="153"/>
        <v>0</v>
      </c>
      <c r="CT120" s="24">
        <f t="shared" si="153"/>
        <v>0</v>
      </c>
      <c r="CU120" s="24">
        <f t="shared" si="153"/>
        <v>0</v>
      </c>
      <c r="CV120" s="24">
        <f t="shared" si="154"/>
        <v>0</v>
      </c>
      <c r="CW120" s="24">
        <f t="shared" si="154"/>
        <v>0</v>
      </c>
      <c r="CX120" s="24">
        <f t="shared" si="154"/>
        <v>0</v>
      </c>
      <c r="CY120" s="24">
        <f t="shared" si="155"/>
        <v>0</v>
      </c>
      <c r="CZ120" s="24">
        <f t="shared" si="155"/>
        <v>0</v>
      </c>
      <c r="DA120" s="24">
        <f t="shared" si="155"/>
        <v>0</v>
      </c>
      <c r="DB120" s="24">
        <f t="shared" si="156"/>
        <v>0</v>
      </c>
      <c r="DC120" s="24">
        <f t="shared" si="156"/>
        <v>0</v>
      </c>
      <c r="DD120" s="24">
        <f t="shared" si="156"/>
        <v>0</v>
      </c>
      <c r="DE120" s="24"/>
      <c r="DF120" s="24">
        <f t="shared" si="157"/>
        <v>0</v>
      </c>
      <c r="DG120" s="24">
        <f t="shared" si="157"/>
        <v>0</v>
      </c>
      <c r="DH120" s="24">
        <f t="shared" si="157"/>
        <v>47530603</v>
      </c>
      <c r="DJ120" s="29">
        <f t="shared" si="110"/>
        <v>447777768</v>
      </c>
      <c r="DK120" s="29">
        <f t="shared" si="96"/>
        <v>447777768</v>
      </c>
      <c r="DL120" s="29">
        <f t="shared" si="97"/>
        <v>447777768</v>
      </c>
    </row>
    <row r="121" spans="1:116" ht="91.5" customHeight="1" x14ac:dyDescent="0.25">
      <c r="A121" s="238"/>
      <c r="B121" s="232"/>
      <c r="C121" s="69" t="s">
        <v>337</v>
      </c>
      <c r="D121" s="21" t="s">
        <v>338</v>
      </c>
      <c r="E121" s="94">
        <v>211</v>
      </c>
      <c r="F121" s="23" t="s">
        <v>336</v>
      </c>
      <c r="G121" s="24">
        <f t="shared" si="144"/>
        <v>215639414</v>
      </c>
      <c r="H121" s="33"/>
      <c r="I121" s="24">
        <f>50000000+78446028</f>
        <v>128446028</v>
      </c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>
        <f>47318981+5271083+155508+1089440+2317590+1325109+1257366+1440267+10918006+9000000+7100036</f>
        <v>87193386</v>
      </c>
      <c r="AA121" s="25">
        <f t="shared" si="117"/>
        <v>5.5473940399411399E-2</v>
      </c>
      <c r="AB121" s="24">
        <f t="shared" si="145"/>
        <v>11962368</v>
      </c>
      <c r="AC121" s="24"/>
      <c r="AD121" s="24"/>
      <c r="AE121" s="24"/>
      <c r="AF121" s="24"/>
      <c r="AG121" s="24"/>
      <c r="AH121" s="24"/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>
        <f>+'[5]JULIO 2016'!$G$179</f>
        <v>11962368</v>
      </c>
      <c r="AW121" s="25">
        <f t="shared" si="119"/>
        <v>0.94452605960058855</v>
      </c>
      <c r="AX121" s="24">
        <f t="shared" si="146"/>
        <v>203677046</v>
      </c>
      <c r="AY121" s="24">
        <f t="shared" si="147"/>
        <v>0</v>
      </c>
      <c r="AZ121" s="24">
        <f t="shared" si="147"/>
        <v>128446028</v>
      </c>
      <c r="BA121" s="24">
        <f t="shared" si="147"/>
        <v>0</v>
      </c>
      <c r="BB121" s="24">
        <f t="shared" si="148"/>
        <v>0</v>
      </c>
      <c r="BC121" s="24">
        <f t="shared" si="148"/>
        <v>0</v>
      </c>
      <c r="BD121" s="24">
        <f t="shared" si="148"/>
        <v>0</v>
      </c>
      <c r="BE121" s="24">
        <f t="shared" si="148"/>
        <v>0</v>
      </c>
      <c r="BF121" s="24">
        <f t="shared" si="148"/>
        <v>0</v>
      </c>
      <c r="BG121" s="24">
        <f t="shared" si="148"/>
        <v>0</v>
      </c>
      <c r="BH121" s="24">
        <f t="shared" si="148"/>
        <v>0</v>
      </c>
      <c r="BI121" s="24">
        <f t="shared" si="148"/>
        <v>0</v>
      </c>
      <c r="BJ121" s="24">
        <f t="shared" si="148"/>
        <v>0</v>
      </c>
      <c r="BK121" s="24">
        <f t="shared" si="148"/>
        <v>0</v>
      </c>
      <c r="BL121" s="24">
        <f t="shared" si="148"/>
        <v>0</v>
      </c>
      <c r="BM121" s="24">
        <f t="shared" si="148"/>
        <v>0</v>
      </c>
      <c r="BN121" s="24"/>
      <c r="BO121" s="24"/>
      <c r="BP121" s="24">
        <f t="shared" si="149"/>
        <v>0</v>
      </c>
      <c r="BQ121" s="24">
        <f t="shared" si="150"/>
        <v>75231018</v>
      </c>
      <c r="BR121" s="25">
        <f t="shared" si="125"/>
        <v>5.5347952299666332E-2</v>
      </c>
      <c r="BS121" s="24">
        <f t="shared" si="151"/>
        <v>11935200</v>
      </c>
      <c r="BT121" s="24"/>
      <c r="BU121" s="24"/>
      <c r="BV121" s="24"/>
      <c r="BW121" s="24"/>
      <c r="BX121" s="24"/>
      <c r="BY121" s="24"/>
      <c r="BZ121" s="24"/>
      <c r="CA121" s="24"/>
      <c r="CB121" s="24"/>
      <c r="CC121" s="24"/>
      <c r="CD121" s="24"/>
      <c r="CE121" s="24"/>
      <c r="CF121" s="24"/>
      <c r="CG121" s="24"/>
      <c r="CH121" s="24"/>
      <c r="CI121" s="24"/>
      <c r="CJ121" s="24"/>
      <c r="CK121" s="24"/>
      <c r="CL121" s="24"/>
      <c r="CM121" s="24">
        <f>+'[5]JULIO 2016'!$H$179</f>
        <v>11935200</v>
      </c>
      <c r="CN121" s="25">
        <f t="shared" si="127"/>
        <v>0.94465204770033362</v>
      </c>
      <c r="CO121" s="24">
        <f t="shared" si="152"/>
        <v>203704214</v>
      </c>
      <c r="CP121" s="24">
        <f t="shared" si="153"/>
        <v>0</v>
      </c>
      <c r="CQ121" s="24">
        <f t="shared" si="153"/>
        <v>128446028</v>
      </c>
      <c r="CR121" s="24">
        <f t="shared" si="153"/>
        <v>0</v>
      </c>
      <c r="CS121" s="24">
        <f t="shared" si="153"/>
        <v>0</v>
      </c>
      <c r="CT121" s="24">
        <f t="shared" si="153"/>
        <v>0</v>
      </c>
      <c r="CU121" s="24">
        <f t="shared" si="153"/>
        <v>0</v>
      </c>
      <c r="CV121" s="24">
        <f t="shared" si="154"/>
        <v>0</v>
      </c>
      <c r="CW121" s="24">
        <f t="shared" si="154"/>
        <v>0</v>
      </c>
      <c r="CX121" s="24">
        <f t="shared" si="154"/>
        <v>0</v>
      </c>
      <c r="CY121" s="24">
        <f t="shared" si="155"/>
        <v>0</v>
      </c>
      <c r="CZ121" s="24">
        <f t="shared" si="155"/>
        <v>0</v>
      </c>
      <c r="DA121" s="24">
        <f t="shared" si="155"/>
        <v>0</v>
      </c>
      <c r="DB121" s="24">
        <f t="shared" si="156"/>
        <v>0</v>
      </c>
      <c r="DC121" s="24">
        <f t="shared" si="156"/>
        <v>0</v>
      </c>
      <c r="DD121" s="24">
        <f t="shared" si="156"/>
        <v>0</v>
      </c>
      <c r="DE121" s="24"/>
      <c r="DF121" s="24">
        <f t="shared" si="157"/>
        <v>0</v>
      </c>
      <c r="DG121" s="24">
        <f t="shared" si="157"/>
        <v>0</v>
      </c>
      <c r="DH121" s="24">
        <f t="shared" si="157"/>
        <v>75258186</v>
      </c>
      <c r="DJ121" s="29">
        <f t="shared" si="110"/>
        <v>215639414</v>
      </c>
      <c r="DK121" s="29">
        <f t="shared" si="96"/>
        <v>215639414</v>
      </c>
      <c r="DL121" s="29">
        <f t="shared" si="97"/>
        <v>215639414</v>
      </c>
    </row>
    <row r="122" spans="1:116" ht="44.25" customHeight="1" x14ac:dyDescent="0.25">
      <c r="A122" s="238"/>
      <c r="B122" s="232"/>
      <c r="C122" s="69" t="s">
        <v>339</v>
      </c>
      <c r="D122" s="21" t="s">
        <v>340</v>
      </c>
      <c r="E122" s="94">
        <v>211</v>
      </c>
      <c r="F122" s="23" t="s">
        <v>341</v>
      </c>
      <c r="G122" s="24">
        <f t="shared" si="144"/>
        <v>11000000</v>
      </c>
      <c r="H122" s="33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>
        <f>3000000+2500000+1000000+2500000+2000000</f>
        <v>11000000</v>
      </c>
      <c r="AA122" s="25">
        <f t="shared" si="117"/>
        <v>0.81807090909090907</v>
      </c>
      <c r="AB122" s="24">
        <f t="shared" si="145"/>
        <v>8998780</v>
      </c>
      <c r="AC122" s="24"/>
      <c r="AD122" s="24"/>
      <c r="AE122" s="24"/>
      <c r="AF122" s="24"/>
      <c r="AG122" s="24"/>
      <c r="AH122" s="24"/>
      <c r="AI122" s="24"/>
      <c r="AJ122" s="24"/>
      <c r="AK122" s="24"/>
      <c r="AL122" s="24"/>
      <c r="AM122" s="24"/>
      <c r="AN122" s="24"/>
      <c r="AO122" s="24"/>
      <c r="AP122" s="24"/>
      <c r="AQ122" s="24"/>
      <c r="AR122" s="24"/>
      <c r="AS122" s="24"/>
      <c r="AT122" s="24"/>
      <c r="AU122" s="24"/>
      <c r="AV122" s="24">
        <f>+'[1]SEPTIEMBRE 2016'!$G$271</f>
        <v>8998780</v>
      </c>
      <c r="AW122" s="25">
        <f t="shared" si="119"/>
        <v>0.18192909090909093</v>
      </c>
      <c r="AX122" s="24">
        <f t="shared" si="146"/>
        <v>2001220</v>
      </c>
      <c r="AY122" s="24">
        <f t="shared" si="147"/>
        <v>0</v>
      </c>
      <c r="AZ122" s="24">
        <f t="shared" si="147"/>
        <v>0</v>
      </c>
      <c r="BA122" s="24">
        <f t="shared" si="147"/>
        <v>0</v>
      </c>
      <c r="BB122" s="24">
        <f t="shared" si="148"/>
        <v>0</v>
      </c>
      <c r="BC122" s="24">
        <f t="shared" si="148"/>
        <v>0</v>
      </c>
      <c r="BD122" s="24">
        <f t="shared" si="148"/>
        <v>0</v>
      </c>
      <c r="BE122" s="24">
        <f t="shared" si="148"/>
        <v>0</v>
      </c>
      <c r="BF122" s="24">
        <f t="shared" si="148"/>
        <v>0</v>
      </c>
      <c r="BG122" s="24">
        <f t="shared" si="148"/>
        <v>0</v>
      </c>
      <c r="BH122" s="24">
        <f t="shared" si="148"/>
        <v>0</v>
      </c>
      <c r="BI122" s="24">
        <f t="shared" si="148"/>
        <v>0</v>
      </c>
      <c r="BJ122" s="24">
        <f t="shared" si="148"/>
        <v>0</v>
      </c>
      <c r="BK122" s="24">
        <f t="shared" si="148"/>
        <v>0</v>
      </c>
      <c r="BL122" s="24">
        <f t="shared" si="148"/>
        <v>0</v>
      </c>
      <c r="BM122" s="24">
        <f t="shared" si="148"/>
        <v>0</v>
      </c>
      <c r="BN122" s="24"/>
      <c r="BO122" s="24"/>
      <c r="BP122" s="24">
        <f t="shared" si="149"/>
        <v>0</v>
      </c>
      <c r="BQ122" s="24">
        <f t="shared" si="150"/>
        <v>2001220</v>
      </c>
      <c r="BR122" s="25">
        <f t="shared" si="125"/>
        <v>0.81634527272727275</v>
      </c>
      <c r="BS122" s="24">
        <f t="shared" si="151"/>
        <v>8979798</v>
      </c>
      <c r="BT122" s="24"/>
      <c r="BU122" s="24"/>
      <c r="BV122" s="24"/>
      <c r="BW122" s="24"/>
      <c r="BX122" s="24"/>
      <c r="BY122" s="24"/>
      <c r="BZ122" s="24"/>
      <c r="CA122" s="24"/>
      <c r="CB122" s="24"/>
      <c r="CC122" s="24"/>
      <c r="CD122" s="24"/>
      <c r="CE122" s="24"/>
      <c r="CF122" s="24"/>
      <c r="CG122" s="24"/>
      <c r="CH122" s="24"/>
      <c r="CI122" s="24"/>
      <c r="CJ122" s="24"/>
      <c r="CK122" s="24"/>
      <c r="CL122" s="24"/>
      <c r="CM122" s="24">
        <f>+'[1]SEPTIEMBRE 2016'!$H$271</f>
        <v>8979798</v>
      </c>
      <c r="CN122" s="25">
        <f t="shared" si="127"/>
        <v>0.18365472727272725</v>
      </c>
      <c r="CO122" s="24">
        <f t="shared" si="152"/>
        <v>2020202</v>
      </c>
      <c r="CP122" s="24">
        <f t="shared" si="153"/>
        <v>0</v>
      </c>
      <c r="CQ122" s="24">
        <f t="shared" si="153"/>
        <v>0</v>
      </c>
      <c r="CR122" s="24">
        <f t="shared" si="153"/>
        <v>0</v>
      </c>
      <c r="CS122" s="24">
        <f t="shared" si="153"/>
        <v>0</v>
      </c>
      <c r="CT122" s="24">
        <f t="shared" si="153"/>
        <v>0</v>
      </c>
      <c r="CU122" s="24">
        <f t="shared" si="153"/>
        <v>0</v>
      </c>
      <c r="CV122" s="24">
        <f t="shared" si="154"/>
        <v>0</v>
      </c>
      <c r="CW122" s="24">
        <f t="shared" si="154"/>
        <v>0</v>
      </c>
      <c r="CX122" s="24">
        <f t="shared" si="154"/>
        <v>0</v>
      </c>
      <c r="CY122" s="24">
        <f t="shared" si="155"/>
        <v>0</v>
      </c>
      <c r="CZ122" s="24">
        <f t="shared" si="155"/>
        <v>0</v>
      </c>
      <c r="DA122" s="24">
        <f t="shared" si="155"/>
        <v>0</v>
      </c>
      <c r="DB122" s="24">
        <f t="shared" si="156"/>
        <v>0</v>
      </c>
      <c r="DC122" s="24">
        <f t="shared" si="156"/>
        <v>0</v>
      </c>
      <c r="DD122" s="24">
        <f t="shared" si="156"/>
        <v>0</v>
      </c>
      <c r="DE122" s="24"/>
      <c r="DF122" s="24">
        <f t="shared" si="157"/>
        <v>0</v>
      </c>
      <c r="DG122" s="24">
        <f t="shared" si="157"/>
        <v>0</v>
      </c>
      <c r="DH122" s="24">
        <f t="shared" si="157"/>
        <v>2020202</v>
      </c>
      <c r="DJ122" s="29">
        <f t="shared" si="110"/>
        <v>11000000</v>
      </c>
      <c r="DK122" s="29">
        <f t="shared" si="96"/>
        <v>11000000</v>
      </c>
      <c r="DL122" s="29">
        <f t="shared" si="97"/>
        <v>11000000</v>
      </c>
    </row>
    <row r="123" spans="1:116" ht="27.75" customHeight="1" x14ac:dyDescent="0.25">
      <c r="A123" s="238"/>
      <c r="B123" s="232"/>
      <c r="C123" s="69" t="s">
        <v>342</v>
      </c>
      <c r="D123" s="21" t="s">
        <v>343</v>
      </c>
      <c r="E123" s="94">
        <v>211</v>
      </c>
      <c r="F123" s="23" t="s">
        <v>76</v>
      </c>
      <c r="G123" s="24">
        <f t="shared" si="144"/>
        <v>5846336</v>
      </c>
      <c r="H123" s="33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>
        <f>5000000+846336</f>
        <v>5846336</v>
      </c>
      <c r="AA123" s="25">
        <f t="shared" si="117"/>
        <v>0.72683899796385287</v>
      </c>
      <c r="AB123" s="24">
        <f t="shared" si="145"/>
        <v>4249345</v>
      </c>
      <c r="AC123" s="24"/>
      <c r="AD123" s="24"/>
      <c r="AE123" s="24"/>
      <c r="AF123" s="24"/>
      <c r="AG123" s="24"/>
      <c r="AH123" s="24"/>
      <c r="AI123" s="24"/>
      <c r="AJ123" s="24"/>
      <c r="AK123" s="24"/>
      <c r="AL123" s="24"/>
      <c r="AM123" s="24"/>
      <c r="AN123" s="24"/>
      <c r="AO123" s="24"/>
      <c r="AP123" s="24"/>
      <c r="AQ123" s="24"/>
      <c r="AR123" s="24"/>
      <c r="AS123" s="24"/>
      <c r="AT123" s="24"/>
      <c r="AU123" s="24"/>
      <c r="AV123" s="24">
        <f>+'[1]SEPTIEMBRE 2016'!$G$284</f>
        <v>4249345</v>
      </c>
      <c r="AW123" s="25">
        <f t="shared" si="119"/>
        <v>0.27316100203614713</v>
      </c>
      <c r="AX123" s="24">
        <f t="shared" si="146"/>
        <v>1596991</v>
      </c>
      <c r="AY123" s="24">
        <f t="shared" si="147"/>
        <v>0</v>
      </c>
      <c r="AZ123" s="24">
        <f t="shared" si="147"/>
        <v>0</v>
      </c>
      <c r="BA123" s="24">
        <f t="shared" si="147"/>
        <v>0</v>
      </c>
      <c r="BB123" s="24">
        <f t="shared" si="148"/>
        <v>0</v>
      </c>
      <c r="BC123" s="24">
        <f t="shared" si="148"/>
        <v>0</v>
      </c>
      <c r="BD123" s="24">
        <f t="shared" si="148"/>
        <v>0</v>
      </c>
      <c r="BE123" s="24">
        <f t="shared" si="148"/>
        <v>0</v>
      </c>
      <c r="BF123" s="24">
        <f t="shared" si="148"/>
        <v>0</v>
      </c>
      <c r="BG123" s="24">
        <f t="shared" si="148"/>
        <v>0</v>
      </c>
      <c r="BH123" s="24">
        <f t="shared" si="148"/>
        <v>0</v>
      </c>
      <c r="BI123" s="24">
        <f t="shared" si="148"/>
        <v>0</v>
      </c>
      <c r="BJ123" s="24">
        <f t="shared" si="148"/>
        <v>0</v>
      </c>
      <c r="BK123" s="24">
        <f t="shared" si="148"/>
        <v>0</v>
      </c>
      <c r="BL123" s="24">
        <f t="shared" si="148"/>
        <v>0</v>
      </c>
      <c r="BM123" s="24">
        <f t="shared" si="148"/>
        <v>0</v>
      </c>
      <c r="BN123" s="24"/>
      <c r="BO123" s="24"/>
      <c r="BP123" s="24">
        <f t="shared" si="149"/>
        <v>0</v>
      </c>
      <c r="BQ123" s="24">
        <f t="shared" si="150"/>
        <v>1596991</v>
      </c>
      <c r="BR123" s="25">
        <f t="shared" si="125"/>
        <v>0.72683899796385287</v>
      </c>
      <c r="BS123" s="24">
        <f t="shared" si="151"/>
        <v>4249345</v>
      </c>
      <c r="BT123" s="24"/>
      <c r="BU123" s="24"/>
      <c r="BV123" s="24"/>
      <c r="BW123" s="24"/>
      <c r="BX123" s="24"/>
      <c r="BY123" s="24"/>
      <c r="BZ123" s="24"/>
      <c r="CA123" s="24"/>
      <c r="CB123" s="24"/>
      <c r="CC123" s="24"/>
      <c r="CD123" s="24"/>
      <c r="CE123" s="24"/>
      <c r="CF123" s="24"/>
      <c r="CG123" s="24"/>
      <c r="CH123" s="24"/>
      <c r="CI123" s="24"/>
      <c r="CJ123" s="24"/>
      <c r="CK123" s="24"/>
      <c r="CL123" s="24"/>
      <c r="CM123" s="24">
        <f>+'[1]SEPTIEMBRE 2016'!$H$284</f>
        <v>4249345</v>
      </c>
      <c r="CN123" s="25">
        <f t="shared" si="127"/>
        <v>0.27316100203614713</v>
      </c>
      <c r="CO123" s="24">
        <f t="shared" si="152"/>
        <v>1596991</v>
      </c>
      <c r="CP123" s="24">
        <f t="shared" si="153"/>
        <v>0</v>
      </c>
      <c r="CQ123" s="24">
        <f t="shared" si="153"/>
        <v>0</v>
      </c>
      <c r="CR123" s="24">
        <f t="shared" si="153"/>
        <v>0</v>
      </c>
      <c r="CS123" s="24">
        <f t="shared" si="153"/>
        <v>0</v>
      </c>
      <c r="CT123" s="24">
        <f t="shared" si="153"/>
        <v>0</v>
      </c>
      <c r="CU123" s="24">
        <f t="shared" si="153"/>
        <v>0</v>
      </c>
      <c r="CV123" s="24">
        <f t="shared" si="154"/>
        <v>0</v>
      </c>
      <c r="CW123" s="24">
        <f t="shared" si="154"/>
        <v>0</v>
      </c>
      <c r="CX123" s="24">
        <f t="shared" si="154"/>
        <v>0</v>
      </c>
      <c r="CY123" s="24">
        <f t="shared" si="155"/>
        <v>0</v>
      </c>
      <c r="CZ123" s="24">
        <f t="shared" si="155"/>
        <v>0</v>
      </c>
      <c r="DA123" s="24">
        <f t="shared" si="155"/>
        <v>0</v>
      </c>
      <c r="DB123" s="24">
        <f t="shared" si="156"/>
        <v>0</v>
      </c>
      <c r="DC123" s="24">
        <f t="shared" si="156"/>
        <v>0</v>
      </c>
      <c r="DD123" s="24">
        <f t="shared" si="156"/>
        <v>0</v>
      </c>
      <c r="DE123" s="24"/>
      <c r="DF123" s="24">
        <f t="shared" si="157"/>
        <v>0</v>
      </c>
      <c r="DG123" s="24">
        <f t="shared" si="157"/>
        <v>0</v>
      </c>
      <c r="DH123" s="24">
        <f t="shared" si="157"/>
        <v>1596991</v>
      </c>
      <c r="DJ123" s="29">
        <f t="shared" si="110"/>
        <v>5846336</v>
      </c>
      <c r="DK123" s="29">
        <f t="shared" si="96"/>
        <v>5846336</v>
      </c>
      <c r="DL123" s="29">
        <f t="shared" si="97"/>
        <v>5846336</v>
      </c>
    </row>
    <row r="124" spans="1:116" s="58" customFormat="1" ht="29.25" customHeight="1" x14ac:dyDescent="0.25">
      <c r="A124" s="238"/>
      <c r="B124" s="232"/>
      <c r="C124" s="55" t="s">
        <v>344</v>
      </c>
      <c r="D124" s="21" t="s">
        <v>345</v>
      </c>
      <c r="E124" s="89">
        <v>211</v>
      </c>
      <c r="F124" s="23" t="s">
        <v>324</v>
      </c>
      <c r="G124" s="24">
        <f t="shared" si="144"/>
        <v>256213729</v>
      </c>
      <c r="H124" s="28"/>
      <c r="I124" s="54">
        <f>296464791+28735209-68986271</f>
        <v>256213729</v>
      </c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>
        <f>28735209-28735209</f>
        <v>0</v>
      </c>
      <c r="V124" s="24"/>
      <c r="W124" s="24"/>
      <c r="X124" s="24"/>
      <c r="Y124" s="24"/>
      <c r="Z124" s="24"/>
      <c r="AA124" s="57">
        <f t="shared" si="117"/>
        <v>0.97989803270846587</v>
      </c>
      <c r="AB124" s="24">
        <f t="shared" si="145"/>
        <v>251063329</v>
      </c>
      <c r="AC124" s="54"/>
      <c r="AD124" s="54"/>
      <c r="AE124" s="54">
        <f>+'[1]SEPTIEMBRE 2016'!$M$296</f>
        <v>251063329</v>
      </c>
      <c r="AF124" s="54"/>
      <c r="AG124" s="54"/>
      <c r="AH124" s="54"/>
      <c r="AI124" s="54"/>
      <c r="AJ124" s="54"/>
      <c r="AK124" s="54"/>
      <c r="AL124" s="54"/>
      <c r="AM124" s="54"/>
      <c r="AN124" s="54"/>
      <c r="AO124" s="54"/>
      <c r="AP124" s="54"/>
      <c r="AQ124" s="54"/>
      <c r="AR124" s="54"/>
      <c r="AS124" s="54"/>
      <c r="AT124" s="54"/>
      <c r="AU124" s="54"/>
      <c r="AV124" s="54"/>
      <c r="AW124" s="57">
        <f t="shared" si="119"/>
        <v>2.0101967291534129E-2</v>
      </c>
      <c r="AX124" s="24">
        <f t="shared" si="146"/>
        <v>5150400</v>
      </c>
      <c r="AY124" s="54">
        <f t="shared" si="147"/>
        <v>0</v>
      </c>
      <c r="AZ124" s="54">
        <f t="shared" si="147"/>
        <v>5150400</v>
      </c>
      <c r="BA124" s="54">
        <f t="shared" si="147"/>
        <v>0</v>
      </c>
      <c r="BB124" s="54">
        <f t="shared" si="148"/>
        <v>0</v>
      </c>
      <c r="BC124" s="54">
        <f t="shared" si="148"/>
        <v>0</v>
      </c>
      <c r="BD124" s="24">
        <f t="shared" si="148"/>
        <v>0</v>
      </c>
      <c r="BE124" s="54">
        <f t="shared" si="148"/>
        <v>0</v>
      </c>
      <c r="BF124" s="54">
        <f t="shared" si="148"/>
        <v>0</v>
      </c>
      <c r="BG124" s="54">
        <f t="shared" si="148"/>
        <v>0</v>
      </c>
      <c r="BH124" s="54">
        <f t="shared" si="148"/>
        <v>0</v>
      </c>
      <c r="BI124" s="54">
        <f t="shared" si="148"/>
        <v>0</v>
      </c>
      <c r="BJ124" s="54">
        <f t="shared" si="148"/>
        <v>0</v>
      </c>
      <c r="BK124" s="54">
        <f t="shared" si="148"/>
        <v>0</v>
      </c>
      <c r="BL124" s="54">
        <f t="shared" si="148"/>
        <v>0</v>
      </c>
      <c r="BM124" s="54">
        <f t="shared" si="148"/>
        <v>0</v>
      </c>
      <c r="BN124" s="54"/>
      <c r="BO124" s="54"/>
      <c r="BP124" s="24">
        <f t="shared" si="149"/>
        <v>0</v>
      </c>
      <c r="BQ124" s="54">
        <f t="shared" si="150"/>
        <v>0</v>
      </c>
      <c r="BR124" s="57">
        <f t="shared" si="125"/>
        <v>0.97989803270846587</v>
      </c>
      <c r="BS124" s="24">
        <f t="shared" si="151"/>
        <v>251063329</v>
      </c>
      <c r="BT124" s="54"/>
      <c r="BU124" s="54"/>
      <c r="BV124" s="54">
        <f>+'[1]SEPTIEMBRE 2016'!$H$294</f>
        <v>251063329</v>
      </c>
      <c r="BW124" s="54"/>
      <c r="BX124" s="54"/>
      <c r="BY124" s="54"/>
      <c r="BZ124" s="54"/>
      <c r="CA124" s="54"/>
      <c r="CB124" s="54"/>
      <c r="CC124" s="54"/>
      <c r="CD124" s="54"/>
      <c r="CE124" s="54"/>
      <c r="CF124" s="54"/>
      <c r="CG124" s="54"/>
      <c r="CH124" s="54"/>
      <c r="CI124" s="54"/>
      <c r="CJ124" s="54"/>
      <c r="CK124" s="54"/>
      <c r="CL124" s="54"/>
      <c r="CM124" s="54"/>
      <c r="CN124" s="57">
        <f t="shared" si="127"/>
        <v>2.0101967291534129E-2</v>
      </c>
      <c r="CO124" s="24">
        <f t="shared" si="152"/>
        <v>5150400</v>
      </c>
      <c r="CP124" s="24">
        <f t="shared" si="153"/>
        <v>0</v>
      </c>
      <c r="CQ124" s="54">
        <f t="shared" si="153"/>
        <v>5150400</v>
      </c>
      <c r="CR124" s="54">
        <f t="shared" si="153"/>
        <v>0</v>
      </c>
      <c r="CS124" s="54">
        <f t="shared" si="153"/>
        <v>0</v>
      </c>
      <c r="CT124" s="54">
        <f t="shared" si="153"/>
        <v>0</v>
      </c>
      <c r="CU124" s="24">
        <f t="shared" si="153"/>
        <v>0</v>
      </c>
      <c r="CV124" s="54">
        <f t="shared" si="154"/>
        <v>0</v>
      </c>
      <c r="CW124" s="54">
        <f t="shared" si="154"/>
        <v>0</v>
      </c>
      <c r="CX124" s="24">
        <f t="shared" si="154"/>
        <v>0</v>
      </c>
      <c r="CY124" s="54">
        <f t="shared" si="155"/>
        <v>0</v>
      </c>
      <c r="CZ124" s="54">
        <f t="shared" si="155"/>
        <v>0</v>
      </c>
      <c r="DA124" s="54">
        <f t="shared" si="155"/>
        <v>0</v>
      </c>
      <c r="DB124" s="54">
        <f t="shared" si="156"/>
        <v>0</v>
      </c>
      <c r="DC124" s="54">
        <f t="shared" si="156"/>
        <v>0</v>
      </c>
      <c r="DD124" s="54">
        <f t="shared" si="156"/>
        <v>0</v>
      </c>
      <c r="DE124" s="54"/>
      <c r="DF124" s="54">
        <f t="shared" si="157"/>
        <v>0</v>
      </c>
      <c r="DG124" s="54">
        <f t="shared" si="157"/>
        <v>0</v>
      </c>
      <c r="DH124" s="54">
        <f t="shared" si="157"/>
        <v>0</v>
      </c>
      <c r="DJ124" s="29">
        <f t="shared" si="110"/>
        <v>256213729</v>
      </c>
      <c r="DK124" s="29">
        <f t="shared" si="96"/>
        <v>256213729</v>
      </c>
      <c r="DL124" s="29">
        <f t="shared" si="97"/>
        <v>256213729</v>
      </c>
    </row>
    <row r="125" spans="1:116" s="58" customFormat="1" ht="28.5" customHeight="1" x14ac:dyDescent="0.25">
      <c r="A125" s="238"/>
      <c r="B125" s="233"/>
      <c r="C125" s="55" t="s">
        <v>346</v>
      </c>
      <c r="D125" s="21" t="s">
        <v>347</v>
      </c>
      <c r="E125" s="89">
        <v>211</v>
      </c>
      <c r="F125" s="23" t="s">
        <v>324</v>
      </c>
      <c r="G125" s="24">
        <f t="shared" si="144"/>
        <v>250000000</v>
      </c>
      <c r="H125" s="28"/>
      <c r="I125" s="54"/>
      <c r="J125" s="24"/>
      <c r="K125" s="24"/>
      <c r="L125" s="24"/>
      <c r="M125" s="24"/>
      <c r="N125" s="24"/>
      <c r="O125" s="24"/>
      <c r="P125" s="24"/>
      <c r="Q125" s="24"/>
      <c r="R125" s="24"/>
      <c r="S125" s="24">
        <v>250000000</v>
      </c>
      <c r="T125" s="24"/>
      <c r="U125" s="24"/>
      <c r="V125" s="24"/>
      <c r="W125" s="24"/>
      <c r="X125" s="24"/>
      <c r="Y125" s="24"/>
      <c r="Z125" s="24"/>
      <c r="AA125" s="57">
        <f t="shared" si="117"/>
        <v>1</v>
      </c>
      <c r="AB125" s="24">
        <f t="shared" si="145"/>
        <v>250000000</v>
      </c>
      <c r="AC125" s="54"/>
      <c r="AD125" s="54"/>
      <c r="AE125" s="54"/>
      <c r="AF125" s="54"/>
      <c r="AG125" s="54"/>
      <c r="AH125" s="54"/>
      <c r="AI125" s="54"/>
      <c r="AJ125" s="54"/>
      <c r="AK125" s="54"/>
      <c r="AL125" s="54"/>
      <c r="AM125" s="54"/>
      <c r="AN125" s="54"/>
      <c r="AO125" s="54">
        <f>+'[6]JUNIO 2016'!$W$197</f>
        <v>250000000</v>
      </c>
      <c r="AP125" s="54"/>
      <c r="AQ125" s="54"/>
      <c r="AR125" s="54"/>
      <c r="AS125" s="54"/>
      <c r="AT125" s="54"/>
      <c r="AU125" s="54"/>
      <c r="AV125" s="54"/>
      <c r="AW125" s="57">
        <f t="shared" si="119"/>
        <v>0</v>
      </c>
      <c r="AX125" s="24">
        <f t="shared" si="146"/>
        <v>0</v>
      </c>
      <c r="AY125" s="54">
        <f t="shared" si="147"/>
        <v>0</v>
      </c>
      <c r="AZ125" s="54">
        <f t="shared" si="147"/>
        <v>0</v>
      </c>
      <c r="BA125" s="54">
        <f t="shared" si="147"/>
        <v>0</v>
      </c>
      <c r="BB125" s="54">
        <f t="shared" si="147"/>
        <v>0</v>
      </c>
      <c r="BC125" s="54">
        <f t="shared" si="147"/>
        <v>0</v>
      </c>
      <c r="BD125" s="54">
        <f t="shared" si="147"/>
        <v>0</v>
      </c>
      <c r="BE125" s="54">
        <f t="shared" si="147"/>
        <v>0</v>
      </c>
      <c r="BF125" s="54">
        <f t="shared" si="147"/>
        <v>0</v>
      </c>
      <c r="BG125" s="54">
        <f t="shared" si="147"/>
        <v>0</v>
      </c>
      <c r="BH125" s="54">
        <f t="shared" si="147"/>
        <v>0</v>
      </c>
      <c r="BI125" s="54">
        <f t="shared" si="147"/>
        <v>0</v>
      </c>
      <c r="BJ125" s="54">
        <f t="shared" si="147"/>
        <v>0</v>
      </c>
      <c r="BK125" s="54">
        <f t="shared" si="147"/>
        <v>0</v>
      </c>
      <c r="BL125" s="54">
        <f t="shared" si="147"/>
        <v>0</v>
      </c>
      <c r="BM125" s="54">
        <f t="shared" si="147"/>
        <v>0</v>
      </c>
      <c r="BN125" s="54"/>
      <c r="BO125" s="54">
        <f>X125-AT125</f>
        <v>0</v>
      </c>
      <c r="BP125" s="24">
        <f t="shared" si="149"/>
        <v>0</v>
      </c>
      <c r="BQ125" s="54">
        <f>Z125-AV125</f>
        <v>0</v>
      </c>
      <c r="BR125" s="57">
        <f t="shared" si="125"/>
        <v>0.99872130800000003</v>
      </c>
      <c r="BS125" s="24">
        <f t="shared" si="151"/>
        <v>249680327</v>
      </c>
      <c r="BT125" s="54"/>
      <c r="BU125" s="54"/>
      <c r="BV125" s="54"/>
      <c r="BW125" s="54"/>
      <c r="BX125" s="54"/>
      <c r="BY125" s="54"/>
      <c r="BZ125" s="54"/>
      <c r="CA125" s="54"/>
      <c r="CB125" s="54"/>
      <c r="CC125" s="54"/>
      <c r="CD125" s="54"/>
      <c r="CE125" s="54"/>
      <c r="CF125" s="54">
        <f>+'[5]JULIO 2016'!$H$221</f>
        <v>249680327</v>
      </c>
      <c r="CG125" s="54"/>
      <c r="CH125" s="54"/>
      <c r="CI125" s="54"/>
      <c r="CJ125" s="54"/>
      <c r="CK125" s="54"/>
      <c r="CL125" s="54"/>
      <c r="CM125" s="54"/>
      <c r="CN125" s="57">
        <f t="shared" si="127"/>
        <v>1.2786919999999702E-3</v>
      </c>
      <c r="CO125" s="24">
        <f t="shared" si="152"/>
        <v>319673</v>
      </c>
      <c r="CP125" s="24">
        <f t="shared" si="153"/>
        <v>0</v>
      </c>
      <c r="CQ125" s="24">
        <f t="shared" si="153"/>
        <v>0</v>
      </c>
      <c r="CR125" s="24">
        <f t="shared" si="153"/>
        <v>0</v>
      </c>
      <c r="CS125" s="24">
        <f t="shared" si="153"/>
        <v>0</v>
      </c>
      <c r="CT125" s="24">
        <f t="shared" si="153"/>
        <v>0</v>
      </c>
      <c r="CU125" s="24">
        <f t="shared" si="153"/>
        <v>0</v>
      </c>
      <c r="CV125" s="24">
        <f>N125-CA125</f>
        <v>0</v>
      </c>
      <c r="CW125" s="24">
        <f>O125-CB125</f>
        <v>0</v>
      </c>
      <c r="CX125" s="24">
        <f>P125-CC125</f>
        <v>0</v>
      </c>
      <c r="CY125" s="24">
        <f t="shared" si="155"/>
        <v>0</v>
      </c>
      <c r="CZ125" s="24">
        <f t="shared" si="155"/>
        <v>0</v>
      </c>
      <c r="DA125" s="24">
        <f t="shared" si="155"/>
        <v>319673</v>
      </c>
      <c r="DB125" s="24">
        <f>T125-CG125</f>
        <v>0</v>
      </c>
      <c r="DC125" s="24">
        <f>U125-CH125</f>
        <v>0</v>
      </c>
      <c r="DD125" s="24">
        <f>V125-CI125</f>
        <v>0</v>
      </c>
      <c r="DE125" s="24"/>
      <c r="DF125" s="24">
        <f>X125-CK125</f>
        <v>0</v>
      </c>
      <c r="DG125" s="24">
        <f>Y125-CL125</f>
        <v>0</v>
      </c>
      <c r="DH125" s="24">
        <f>Z125-CM125</f>
        <v>0</v>
      </c>
      <c r="DJ125" s="29">
        <f t="shared" si="110"/>
        <v>250000000</v>
      </c>
      <c r="DK125" s="29">
        <f t="shared" si="96"/>
        <v>250000000</v>
      </c>
      <c r="DL125" s="29">
        <f t="shared" si="97"/>
        <v>250000000</v>
      </c>
    </row>
    <row r="126" spans="1:116" s="58" customFormat="1" ht="50.25" customHeight="1" x14ac:dyDescent="0.25">
      <c r="A126" s="96"/>
      <c r="B126" s="21" t="s">
        <v>348</v>
      </c>
      <c r="C126" s="55" t="s">
        <v>349</v>
      </c>
      <c r="D126" s="21" t="s">
        <v>350</v>
      </c>
      <c r="E126" s="89" t="s">
        <v>351</v>
      </c>
      <c r="F126" s="23" t="s">
        <v>324</v>
      </c>
      <c r="G126" s="24">
        <f t="shared" si="144"/>
        <v>3185000000</v>
      </c>
      <c r="H126" s="28"/>
      <c r="I126" s="5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>
        <f>485000000</f>
        <v>485000000</v>
      </c>
      <c r="U126" s="24"/>
      <c r="V126" s="24"/>
      <c r="W126" s="24"/>
      <c r="X126" s="24">
        <v>2700000000</v>
      </c>
      <c r="Y126" s="24"/>
      <c r="Z126" s="24"/>
      <c r="AA126" s="57">
        <f t="shared" si="117"/>
        <v>0.89515172433281009</v>
      </c>
      <c r="AB126" s="24">
        <f t="shared" si="145"/>
        <v>2851058242</v>
      </c>
      <c r="AC126" s="54"/>
      <c r="AD126" s="54"/>
      <c r="AE126" s="54"/>
      <c r="AF126" s="54"/>
      <c r="AG126" s="54"/>
      <c r="AH126" s="54"/>
      <c r="AI126" s="54"/>
      <c r="AJ126" s="54"/>
      <c r="AK126" s="54"/>
      <c r="AL126" s="54"/>
      <c r="AM126" s="54"/>
      <c r="AN126" s="54"/>
      <c r="AO126" s="54"/>
      <c r="AP126" s="54">
        <f>+'[1]SEPTIEMBRE 2016'!$X$3643</f>
        <v>451915027</v>
      </c>
      <c r="AQ126" s="54"/>
      <c r="AR126" s="54"/>
      <c r="AS126" s="54"/>
      <c r="AT126" s="54">
        <f>+'[1]SEPTIEMBRE 2016'!$AB$3643</f>
        <v>2399143215</v>
      </c>
      <c r="AU126" s="54"/>
      <c r="AV126" s="54"/>
      <c r="AW126" s="57">
        <f t="shared" si="119"/>
        <v>0.10484827566718991</v>
      </c>
      <c r="AX126" s="24">
        <f t="shared" si="146"/>
        <v>333941758</v>
      </c>
      <c r="AY126" s="54"/>
      <c r="AZ126" s="54"/>
      <c r="BA126" s="54"/>
      <c r="BB126" s="54"/>
      <c r="BC126" s="54"/>
      <c r="BD126" s="54"/>
      <c r="BE126" s="54"/>
      <c r="BF126" s="54"/>
      <c r="BG126" s="54"/>
      <c r="BH126" s="54"/>
      <c r="BI126" s="54"/>
      <c r="BJ126" s="54"/>
      <c r="BK126" s="54">
        <f>T126-AP126</f>
        <v>33084973</v>
      </c>
      <c r="BL126" s="54"/>
      <c r="BM126" s="54"/>
      <c r="BN126" s="54"/>
      <c r="BO126" s="54">
        <f>X126-AT126</f>
        <v>300856785</v>
      </c>
      <c r="BP126" s="24"/>
      <c r="BQ126" s="54"/>
      <c r="BR126" s="57">
        <f t="shared" si="125"/>
        <v>0.27659845714285713</v>
      </c>
      <c r="BS126" s="24">
        <f t="shared" si="151"/>
        <v>880966086</v>
      </c>
      <c r="BT126" s="54"/>
      <c r="BU126" s="54"/>
      <c r="BV126" s="54"/>
      <c r="BW126" s="54"/>
      <c r="BX126" s="54"/>
      <c r="BY126" s="54"/>
      <c r="BZ126" s="54"/>
      <c r="CA126" s="54"/>
      <c r="CB126" s="54"/>
      <c r="CC126" s="54"/>
      <c r="CD126" s="54"/>
      <c r="CE126" s="54"/>
      <c r="CF126" s="54"/>
      <c r="CG126" s="54">
        <f>+'[1]SEPTIEMBRE 2016'!$H$3653</f>
        <v>451915027</v>
      </c>
      <c r="CH126" s="54"/>
      <c r="CI126" s="54"/>
      <c r="CJ126" s="54"/>
      <c r="CK126" s="54">
        <f>+'[4]AGOSTO 2016'!$H$3113</f>
        <v>429051059</v>
      </c>
      <c r="CL126" s="54"/>
      <c r="CM126" s="54"/>
      <c r="CN126" s="57">
        <f t="shared" si="127"/>
        <v>0.72340154285714287</v>
      </c>
      <c r="CO126" s="24">
        <f t="shared" si="152"/>
        <v>2304033914</v>
      </c>
      <c r="CP126" s="24"/>
      <c r="CQ126" s="24"/>
      <c r="CR126" s="24"/>
      <c r="CS126" s="24"/>
      <c r="CT126" s="24"/>
      <c r="CU126" s="24"/>
      <c r="CV126" s="24"/>
      <c r="CW126" s="24"/>
      <c r="CX126" s="24"/>
      <c r="CY126" s="24"/>
      <c r="CZ126" s="24"/>
      <c r="DA126" s="24"/>
      <c r="DB126" s="24">
        <f>T126-CG126</f>
        <v>33084973</v>
      </c>
      <c r="DC126" s="24"/>
      <c r="DD126" s="24"/>
      <c r="DE126" s="24"/>
      <c r="DF126" s="24">
        <f>X126-CK126</f>
        <v>2270948941</v>
      </c>
      <c r="DG126" s="24"/>
      <c r="DH126" s="24"/>
      <c r="DJ126" s="29">
        <f t="shared" si="110"/>
        <v>3185000000</v>
      </c>
      <c r="DK126" s="29">
        <f t="shared" si="96"/>
        <v>3185000000</v>
      </c>
      <c r="DL126" s="29">
        <f t="shared" si="97"/>
        <v>3185000000</v>
      </c>
    </row>
    <row r="127" spans="1:116" ht="33.75" customHeight="1" x14ac:dyDescent="0.25">
      <c r="A127" s="238" t="s">
        <v>314</v>
      </c>
      <c r="B127" s="231" t="s">
        <v>352</v>
      </c>
      <c r="C127" s="69" t="s">
        <v>353</v>
      </c>
      <c r="D127" s="21" t="s">
        <v>354</v>
      </c>
      <c r="E127" s="94">
        <v>510</v>
      </c>
      <c r="F127" s="23" t="s">
        <v>355</v>
      </c>
      <c r="G127" s="24">
        <f t="shared" si="144"/>
        <v>97488992</v>
      </c>
      <c r="H127" s="24"/>
      <c r="I127" s="24"/>
      <c r="J127" s="24"/>
      <c r="K127" s="24">
        <f>95000000-3511008</f>
        <v>91488992</v>
      </c>
      <c r="L127" s="24"/>
      <c r="M127" s="24"/>
      <c r="N127" s="24"/>
      <c r="O127" s="24"/>
      <c r="P127" s="24"/>
      <c r="Q127" s="24"/>
      <c r="R127" s="24"/>
      <c r="S127" s="24"/>
      <c r="T127" s="24"/>
      <c r="U127" s="24">
        <v>6000000</v>
      </c>
      <c r="V127" s="24"/>
      <c r="W127" s="24"/>
      <c r="X127" s="24"/>
      <c r="Y127" s="24"/>
      <c r="Z127" s="24"/>
      <c r="AA127" s="25">
        <f t="shared" si="117"/>
        <v>0.8664362844166037</v>
      </c>
      <c r="AB127" s="24">
        <f t="shared" si="145"/>
        <v>84468000</v>
      </c>
      <c r="AC127" s="24"/>
      <c r="AD127" s="24"/>
      <c r="AE127" s="24"/>
      <c r="AF127" s="24"/>
      <c r="AG127" s="24">
        <f>+'[5]JULIO 2016'!$O$1834</f>
        <v>84468000</v>
      </c>
      <c r="AH127" s="24"/>
      <c r="AI127" s="24"/>
      <c r="AJ127" s="24"/>
      <c r="AK127" s="24"/>
      <c r="AL127" s="24"/>
      <c r="AM127" s="24"/>
      <c r="AN127" s="24"/>
      <c r="AO127" s="24"/>
      <c r="AP127" s="24"/>
      <c r="AQ127" s="24"/>
      <c r="AR127" s="24"/>
      <c r="AS127" s="24"/>
      <c r="AT127" s="24"/>
      <c r="AU127" s="24"/>
      <c r="AV127" s="24"/>
      <c r="AW127" s="25">
        <f t="shared" si="119"/>
        <v>0.1335637155833963</v>
      </c>
      <c r="AX127" s="24">
        <f t="shared" si="146"/>
        <v>13020992</v>
      </c>
      <c r="AY127" s="24">
        <f t="shared" ref="AY127:BA132" si="158">H127-AD127</f>
        <v>0</v>
      </c>
      <c r="AZ127" s="24">
        <f t="shared" si="158"/>
        <v>0</v>
      </c>
      <c r="BA127" s="24">
        <f t="shared" si="158"/>
        <v>0</v>
      </c>
      <c r="BB127" s="24">
        <f t="shared" ref="BB127:BM132" si="159">+K127-AG127</f>
        <v>7020992</v>
      </c>
      <c r="BC127" s="24">
        <f t="shared" si="159"/>
        <v>0</v>
      </c>
      <c r="BD127" s="24">
        <f t="shared" si="159"/>
        <v>0</v>
      </c>
      <c r="BE127" s="24">
        <f t="shared" si="159"/>
        <v>0</v>
      </c>
      <c r="BF127" s="24">
        <f t="shared" si="159"/>
        <v>0</v>
      </c>
      <c r="BG127" s="24">
        <f t="shared" si="159"/>
        <v>0</v>
      </c>
      <c r="BH127" s="24">
        <f t="shared" si="159"/>
        <v>0</v>
      </c>
      <c r="BI127" s="24">
        <f t="shared" si="159"/>
        <v>0</v>
      </c>
      <c r="BJ127" s="24">
        <f t="shared" si="159"/>
        <v>0</v>
      </c>
      <c r="BK127" s="24">
        <f t="shared" si="159"/>
        <v>0</v>
      </c>
      <c r="BL127" s="24">
        <f t="shared" si="159"/>
        <v>6000000</v>
      </c>
      <c r="BM127" s="24">
        <f t="shared" si="159"/>
        <v>0</v>
      </c>
      <c r="BN127" s="24"/>
      <c r="BO127" s="24"/>
      <c r="BP127" s="24">
        <f t="shared" ref="BP127:BP132" si="160">Y127-AU127</f>
        <v>0</v>
      </c>
      <c r="BQ127" s="24">
        <f t="shared" ref="BQ127:BQ132" si="161">+Z127-AV127</f>
        <v>0</v>
      </c>
      <c r="BR127" s="25">
        <f t="shared" si="125"/>
        <v>0.84342044484365986</v>
      </c>
      <c r="BS127" s="24">
        <f t="shared" si="151"/>
        <v>82224209</v>
      </c>
      <c r="BT127" s="24"/>
      <c r="BU127" s="24"/>
      <c r="BV127" s="24"/>
      <c r="BW127" s="24"/>
      <c r="BX127" s="24">
        <f>+'[4]AGOSTO 2016'!$H$2440</f>
        <v>82224209</v>
      </c>
      <c r="BY127" s="24"/>
      <c r="BZ127" s="24"/>
      <c r="CA127" s="24"/>
      <c r="CB127" s="24"/>
      <c r="CC127" s="24"/>
      <c r="CD127" s="24"/>
      <c r="CE127" s="24"/>
      <c r="CF127" s="24"/>
      <c r="CG127" s="24"/>
      <c r="CH127" s="24"/>
      <c r="CI127" s="24"/>
      <c r="CJ127" s="24"/>
      <c r="CK127" s="24"/>
      <c r="CL127" s="24"/>
      <c r="CM127" s="24"/>
      <c r="CN127" s="25">
        <f t="shared" si="127"/>
        <v>0.15657955515634014</v>
      </c>
      <c r="CO127" s="24">
        <f t="shared" si="152"/>
        <v>15264783</v>
      </c>
      <c r="CP127" s="24">
        <f t="shared" ref="CP127:CU132" si="162">H127-BU127</f>
        <v>0</v>
      </c>
      <c r="CQ127" s="24">
        <f t="shared" si="162"/>
        <v>0</v>
      </c>
      <c r="CR127" s="24">
        <f t="shared" si="162"/>
        <v>0</v>
      </c>
      <c r="CS127" s="24">
        <f t="shared" si="162"/>
        <v>9264783</v>
      </c>
      <c r="CT127" s="24">
        <f t="shared" si="162"/>
        <v>0</v>
      </c>
      <c r="CU127" s="24">
        <f t="shared" si="162"/>
        <v>0</v>
      </c>
      <c r="CV127" s="24">
        <f t="shared" ref="CV127:CX132" si="163">+N127-CA127</f>
        <v>0</v>
      </c>
      <c r="CW127" s="24">
        <f t="shared" si="163"/>
        <v>0</v>
      </c>
      <c r="CX127" s="24">
        <f t="shared" si="163"/>
        <v>0</v>
      </c>
      <c r="CY127" s="24">
        <f t="shared" ref="CY127:DA132" si="164">Q127-CD127</f>
        <v>0</v>
      </c>
      <c r="CZ127" s="24">
        <f t="shared" si="164"/>
        <v>0</v>
      </c>
      <c r="DA127" s="24">
        <f t="shared" si="164"/>
        <v>0</v>
      </c>
      <c r="DB127" s="24">
        <f t="shared" ref="DB127:DD132" si="165">+T127-CG127</f>
        <v>0</v>
      </c>
      <c r="DC127" s="24">
        <f t="shared" si="165"/>
        <v>6000000</v>
      </c>
      <c r="DD127" s="24">
        <f t="shared" si="165"/>
        <v>0</v>
      </c>
      <c r="DE127" s="24"/>
      <c r="DF127" s="24">
        <f t="shared" ref="DF127:DH132" si="166">+X127-CK127</f>
        <v>0</v>
      </c>
      <c r="DG127" s="24">
        <f t="shared" si="166"/>
        <v>0</v>
      </c>
      <c r="DH127" s="24">
        <f t="shared" si="166"/>
        <v>0</v>
      </c>
      <c r="DJ127" s="29">
        <f t="shared" si="110"/>
        <v>97488992</v>
      </c>
      <c r="DK127" s="29">
        <f t="shared" si="96"/>
        <v>97488992</v>
      </c>
      <c r="DL127" s="29">
        <f t="shared" si="97"/>
        <v>97488992</v>
      </c>
    </row>
    <row r="128" spans="1:116" ht="44.25" customHeight="1" x14ac:dyDescent="0.25">
      <c r="A128" s="238"/>
      <c r="B128" s="232"/>
      <c r="C128" s="69" t="s">
        <v>356</v>
      </c>
      <c r="D128" s="21" t="s">
        <v>357</v>
      </c>
      <c r="E128" s="94">
        <v>510</v>
      </c>
      <c r="F128" s="23" t="s">
        <v>355</v>
      </c>
      <c r="G128" s="24">
        <f t="shared" si="144"/>
        <v>105511008</v>
      </c>
      <c r="H128" s="24"/>
      <c r="I128" s="24"/>
      <c r="J128" s="24"/>
      <c r="K128" s="24">
        <f>102000000+3511008</f>
        <v>105511008</v>
      </c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5">
        <f t="shared" si="117"/>
        <v>0.99989566965372945</v>
      </c>
      <c r="AB128" s="24">
        <f t="shared" si="145"/>
        <v>105500000</v>
      </c>
      <c r="AC128" s="24"/>
      <c r="AD128" s="24"/>
      <c r="AE128" s="24"/>
      <c r="AF128" s="24"/>
      <c r="AG128" s="24">
        <f>+'[1]SEPTIEMBRE 2016'!$O$2892</f>
        <v>105500000</v>
      </c>
      <c r="AH128" s="24"/>
      <c r="AI128" s="24"/>
      <c r="AJ128" s="24"/>
      <c r="AK128" s="24"/>
      <c r="AL128" s="24"/>
      <c r="AM128" s="24"/>
      <c r="AN128" s="24"/>
      <c r="AO128" s="24"/>
      <c r="AP128" s="24"/>
      <c r="AQ128" s="24"/>
      <c r="AR128" s="24"/>
      <c r="AS128" s="24"/>
      <c r="AT128" s="24"/>
      <c r="AU128" s="24"/>
      <c r="AV128" s="24"/>
      <c r="AW128" s="25">
        <f t="shared" si="119"/>
        <v>1.043303462705536E-4</v>
      </c>
      <c r="AX128" s="24">
        <f t="shared" si="146"/>
        <v>11008</v>
      </c>
      <c r="AY128" s="24">
        <f t="shared" si="158"/>
        <v>0</v>
      </c>
      <c r="AZ128" s="24">
        <f t="shared" si="158"/>
        <v>0</v>
      </c>
      <c r="BA128" s="24">
        <f t="shared" si="158"/>
        <v>0</v>
      </c>
      <c r="BB128" s="24">
        <f t="shared" si="159"/>
        <v>11008</v>
      </c>
      <c r="BC128" s="24">
        <f t="shared" si="159"/>
        <v>0</v>
      </c>
      <c r="BD128" s="24">
        <f t="shared" si="159"/>
        <v>0</v>
      </c>
      <c r="BE128" s="24">
        <f t="shared" si="159"/>
        <v>0</v>
      </c>
      <c r="BF128" s="24">
        <f t="shared" si="159"/>
        <v>0</v>
      </c>
      <c r="BG128" s="24">
        <f t="shared" si="159"/>
        <v>0</v>
      </c>
      <c r="BH128" s="24">
        <f t="shared" si="159"/>
        <v>0</v>
      </c>
      <c r="BI128" s="24">
        <f t="shared" si="159"/>
        <v>0</v>
      </c>
      <c r="BJ128" s="24">
        <f t="shared" si="159"/>
        <v>0</v>
      </c>
      <c r="BK128" s="24">
        <f t="shared" si="159"/>
        <v>0</v>
      </c>
      <c r="BL128" s="24">
        <f t="shared" si="159"/>
        <v>0</v>
      </c>
      <c r="BM128" s="24">
        <f t="shared" si="159"/>
        <v>0</v>
      </c>
      <c r="BN128" s="24"/>
      <c r="BO128" s="24"/>
      <c r="BP128" s="24">
        <f t="shared" si="160"/>
        <v>0</v>
      </c>
      <c r="BQ128" s="24">
        <f t="shared" si="161"/>
        <v>0</v>
      </c>
      <c r="BR128" s="25">
        <f t="shared" si="125"/>
        <v>0.95702875855379943</v>
      </c>
      <c r="BS128" s="24">
        <f t="shared" si="151"/>
        <v>100977069</v>
      </c>
      <c r="BT128" s="24"/>
      <c r="BU128" s="24"/>
      <c r="BV128" s="24"/>
      <c r="BW128" s="24"/>
      <c r="BX128" s="24">
        <f>+'[5]JULIO 2016'!$H$1849</f>
        <v>100977069</v>
      </c>
      <c r="BY128" s="24"/>
      <c r="BZ128" s="24"/>
      <c r="CA128" s="24"/>
      <c r="CB128" s="24"/>
      <c r="CC128" s="24"/>
      <c r="CD128" s="24"/>
      <c r="CE128" s="24"/>
      <c r="CF128" s="24"/>
      <c r="CG128" s="24"/>
      <c r="CH128" s="24"/>
      <c r="CI128" s="24"/>
      <c r="CJ128" s="24"/>
      <c r="CK128" s="24"/>
      <c r="CL128" s="24"/>
      <c r="CM128" s="24"/>
      <c r="CN128" s="25">
        <f t="shared" si="127"/>
        <v>4.297124144620057E-2</v>
      </c>
      <c r="CO128" s="24">
        <f t="shared" si="152"/>
        <v>4533939</v>
      </c>
      <c r="CP128" s="24">
        <f t="shared" si="162"/>
        <v>0</v>
      </c>
      <c r="CQ128" s="24">
        <f t="shared" si="162"/>
        <v>0</v>
      </c>
      <c r="CR128" s="24">
        <f t="shared" si="162"/>
        <v>0</v>
      </c>
      <c r="CS128" s="24">
        <f t="shared" si="162"/>
        <v>4533939</v>
      </c>
      <c r="CT128" s="24">
        <f t="shared" si="162"/>
        <v>0</v>
      </c>
      <c r="CU128" s="24">
        <f t="shared" si="162"/>
        <v>0</v>
      </c>
      <c r="CV128" s="24">
        <f t="shared" si="163"/>
        <v>0</v>
      </c>
      <c r="CW128" s="24">
        <f t="shared" si="163"/>
        <v>0</v>
      </c>
      <c r="CX128" s="24">
        <f t="shared" si="163"/>
        <v>0</v>
      </c>
      <c r="CY128" s="24">
        <f t="shared" si="164"/>
        <v>0</v>
      </c>
      <c r="CZ128" s="24">
        <f t="shared" si="164"/>
        <v>0</v>
      </c>
      <c r="DA128" s="24">
        <f t="shared" si="164"/>
        <v>0</v>
      </c>
      <c r="DB128" s="24">
        <f t="shared" si="165"/>
        <v>0</v>
      </c>
      <c r="DC128" s="24">
        <f t="shared" si="165"/>
        <v>0</v>
      </c>
      <c r="DD128" s="24">
        <f t="shared" si="165"/>
        <v>0</v>
      </c>
      <c r="DE128" s="24"/>
      <c r="DF128" s="24">
        <f t="shared" si="166"/>
        <v>0</v>
      </c>
      <c r="DG128" s="24">
        <f t="shared" si="166"/>
        <v>0</v>
      </c>
      <c r="DH128" s="24">
        <f t="shared" si="166"/>
        <v>0</v>
      </c>
      <c r="DJ128" s="29">
        <f t="shared" si="110"/>
        <v>105511008</v>
      </c>
      <c r="DK128" s="29">
        <f t="shared" si="96"/>
        <v>105511008</v>
      </c>
      <c r="DL128" s="29">
        <f t="shared" si="97"/>
        <v>105511008</v>
      </c>
    </row>
    <row r="129" spans="1:116" ht="38.25" customHeight="1" x14ac:dyDescent="0.25">
      <c r="A129" s="238"/>
      <c r="B129" s="233"/>
      <c r="C129" s="69" t="s">
        <v>358</v>
      </c>
      <c r="D129" s="21" t="s">
        <v>359</v>
      </c>
      <c r="E129" s="94">
        <v>510</v>
      </c>
      <c r="F129" s="23" t="s">
        <v>355</v>
      </c>
      <c r="G129" s="24">
        <f t="shared" si="144"/>
        <v>10000000</v>
      </c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>
        <v>10000000</v>
      </c>
      <c r="T129" s="24"/>
      <c r="U129" s="24"/>
      <c r="V129" s="24"/>
      <c r="W129" s="24"/>
      <c r="X129" s="24"/>
      <c r="Y129" s="24"/>
      <c r="Z129" s="24"/>
      <c r="AA129" s="25">
        <f t="shared" si="117"/>
        <v>0</v>
      </c>
      <c r="AB129" s="24">
        <f t="shared" si="145"/>
        <v>0</v>
      </c>
      <c r="AC129" s="24"/>
      <c r="AD129" s="24"/>
      <c r="AE129" s="24"/>
      <c r="AF129" s="24"/>
      <c r="AG129" s="24"/>
      <c r="AH129" s="24"/>
      <c r="AI129" s="24"/>
      <c r="AJ129" s="24"/>
      <c r="AK129" s="24"/>
      <c r="AL129" s="24"/>
      <c r="AM129" s="24"/>
      <c r="AN129" s="24"/>
      <c r="AO129" s="24"/>
      <c r="AP129" s="24"/>
      <c r="AQ129" s="24"/>
      <c r="AR129" s="24"/>
      <c r="AS129" s="24"/>
      <c r="AT129" s="24"/>
      <c r="AU129" s="24"/>
      <c r="AV129" s="24"/>
      <c r="AW129" s="25">
        <f t="shared" si="119"/>
        <v>1</v>
      </c>
      <c r="AX129" s="24">
        <f t="shared" si="146"/>
        <v>10000000</v>
      </c>
      <c r="AY129" s="24">
        <f t="shared" si="158"/>
        <v>0</v>
      </c>
      <c r="AZ129" s="24">
        <f t="shared" si="158"/>
        <v>0</v>
      </c>
      <c r="BA129" s="24">
        <f t="shared" si="158"/>
        <v>0</v>
      </c>
      <c r="BB129" s="24">
        <f t="shared" si="159"/>
        <v>0</v>
      </c>
      <c r="BC129" s="24">
        <f t="shared" si="159"/>
        <v>0</v>
      </c>
      <c r="BD129" s="24">
        <f t="shared" si="159"/>
        <v>0</v>
      </c>
      <c r="BE129" s="24">
        <f t="shared" si="159"/>
        <v>0</v>
      </c>
      <c r="BF129" s="24">
        <f t="shared" si="159"/>
        <v>0</v>
      </c>
      <c r="BG129" s="24">
        <f t="shared" si="159"/>
        <v>0</v>
      </c>
      <c r="BH129" s="24">
        <f t="shared" si="159"/>
        <v>0</v>
      </c>
      <c r="BI129" s="24">
        <f t="shared" si="159"/>
        <v>0</v>
      </c>
      <c r="BJ129" s="24">
        <f t="shared" si="159"/>
        <v>10000000</v>
      </c>
      <c r="BK129" s="24">
        <f t="shared" si="159"/>
        <v>0</v>
      </c>
      <c r="BL129" s="24">
        <f t="shared" si="159"/>
        <v>0</v>
      </c>
      <c r="BM129" s="24">
        <f t="shared" si="159"/>
        <v>0</v>
      </c>
      <c r="BN129" s="24"/>
      <c r="BO129" s="24"/>
      <c r="BP129" s="24">
        <f t="shared" si="160"/>
        <v>0</v>
      </c>
      <c r="BQ129" s="24">
        <f t="shared" si="161"/>
        <v>0</v>
      </c>
      <c r="BR129" s="25">
        <f t="shared" si="125"/>
        <v>0</v>
      </c>
      <c r="BS129" s="24">
        <f t="shared" si="151"/>
        <v>0</v>
      </c>
      <c r="BT129" s="24"/>
      <c r="BU129" s="24"/>
      <c r="BV129" s="24"/>
      <c r="BW129" s="24"/>
      <c r="BX129" s="24"/>
      <c r="BY129" s="24"/>
      <c r="BZ129" s="24"/>
      <c r="CA129" s="24"/>
      <c r="CB129" s="24"/>
      <c r="CC129" s="24"/>
      <c r="CD129" s="24"/>
      <c r="CE129" s="24"/>
      <c r="CF129" s="24"/>
      <c r="CG129" s="24"/>
      <c r="CH129" s="24"/>
      <c r="CI129" s="24"/>
      <c r="CJ129" s="24"/>
      <c r="CK129" s="24"/>
      <c r="CL129" s="24"/>
      <c r="CM129" s="24"/>
      <c r="CN129" s="25">
        <f t="shared" si="127"/>
        <v>1</v>
      </c>
      <c r="CO129" s="24">
        <f t="shared" si="152"/>
        <v>10000000</v>
      </c>
      <c r="CP129" s="24">
        <f t="shared" si="162"/>
        <v>0</v>
      </c>
      <c r="CQ129" s="24">
        <f t="shared" si="162"/>
        <v>0</v>
      </c>
      <c r="CR129" s="24">
        <f t="shared" si="162"/>
        <v>0</v>
      </c>
      <c r="CS129" s="24">
        <f t="shared" si="162"/>
        <v>0</v>
      </c>
      <c r="CT129" s="24">
        <f t="shared" si="162"/>
        <v>0</v>
      </c>
      <c r="CU129" s="24">
        <f t="shared" si="162"/>
        <v>0</v>
      </c>
      <c r="CV129" s="24">
        <f t="shared" si="163"/>
        <v>0</v>
      </c>
      <c r="CW129" s="24">
        <f t="shared" si="163"/>
        <v>0</v>
      </c>
      <c r="CX129" s="24">
        <f t="shared" si="163"/>
        <v>0</v>
      </c>
      <c r="CY129" s="24">
        <f t="shared" si="164"/>
        <v>0</v>
      </c>
      <c r="CZ129" s="24">
        <f t="shared" si="164"/>
        <v>0</v>
      </c>
      <c r="DA129" s="24">
        <f t="shared" si="164"/>
        <v>10000000</v>
      </c>
      <c r="DB129" s="24">
        <f t="shared" si="165"/>
        <v>0</v>
      </c>
      <c r="DC129" s="24">
        <f t="shared" si="165"/>
        <v>0</v>
      </c>
      <c r="DD129" s="24">
        <f t="shared" si="165"/>
        <v>0</v>
      </c>
      <c r="DE129" s="24"/>
      <c r="DF129" s="24">
        <f t="shared" si="166"/>
        <v>0</v>
      </c>
      <c r="DG129" s="24">
        <f t="shared" si="166"/>
        <v>0</v>
      </c>
      <c r="DH129" s="24">
        <f t="shared" si="166"/>
        <v>0</v>
      </c>
      <c r="DJ129" s="29">
        <f t="shared" si="110"/>
        <v>10000000</v>
      </c>
      <c r="DK129" s="29">
        <f t="shared" si="96"/>
        <v>10000000</v>
      </c>
      <c r="DL129" s="29">
        <f t="shared" si="97"/>
        <v>10000000</v>
      </c>
    </row>
    <row r="130" spans="1:116" ht="37.5" customHeight="1" x14ac:dyDescent="0.25">
      <c r="A130" s="238"/>
      <c r="B130" s="88" t="s">
        <v>360</v>
      </c>
      <c r="C130" s="69" t="s">
        <v>361</v>
      </c>
      <c r="D130" s="21" t="s">
        <v>362</v>
      </c>
      <c r="E130" s="94">
        <v>510</v>
      </c>
      <c r="F130" s="23" t="s">
        <v>355</v>
      </c>
      <c r="G130" s="24">
        <f t="shared" si="144"/>
        <v>80000000</v>
      </c>
      <c r="H130" s="24"/>
      <c r="I130" s="24"/>
      <c r="J130" s="24"/>
      <c r="K130" s="24">
        <v>80000000</v>
      </c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5">
        <f t="shared" si="117"/>
        <v>1</v>
      </c>
      <c r="AB130" s="24">
        <f t="shared" si="145"/>
        <v>80000000</v>
      </c>
      <c r="AC130" s="24"/>
      <c r="AD130" s="24"/>
      <c r="AE130" s="24"/>
      <c r="AF130" s="24"/>
      <c r="AG130" s="24">
        <f>+'[2]ENERO 2016'!$O$625</f>
        <v>80000000</v>
      </c>
      <c r="AH130" s="24"/>
      <c r="AI130" s="24"/>
      <c r="AJ130" s="24"/>
      <c r="AK130" s="24"/>
      <c r="AL130" s="24"/>
      <c r="AM130" s="24"/>
      <c r="AN130" s="24"/>
      <c r="AO130" s="24"/>
      <c r="AP130" s="24"/>
      <c r="AQ130" s="24"/>
      <c r="AR130" s="24"/>
      <c r="AS130" s="24"/>
      <c r="AT130" s="24"/>
      <c r="AU130" s="24"/>
      <c r="AV130" s="24"/>
      <c r="AW130" s="25">
        <f t="shared" si="119"/>
        <v>0</v>
      </c>
      <c r="AX130" s="24">
        <f t="shared" si="146"/>
        <v>0</v>
      </c>
      <c r="AY130" s="24">
        <f t="shared" si="158"/>
        <v>0</v>
      </c>
      <c r="AZ130" s="24">
        <f t="shared" si="158"/>
        <v>0</v>
      </c>
      <c r="BA130" s="24">
        <f t="shared" si="158"/>
        <v>0</v>
      </c>
      <c r="BB130" s="24">
        <f t="shared" si="159"/>
        <v>0</v>
      </c>
      <c r="BC130" s="24">
        <f t="shared" si="159"/>
        <v>0</v>
      </c>
      <c r="BD130" s="24">
        <f t="shared" si="159"/>
        <v>0</v>
      </c>
      <c r="BE130" s="24">
        <f t="shared" si="159"/>
        <v>0</v>
      </c>
      <c r="BF130" s="24">
        <f t="shared" si="159"/>
        <v>0</v>
      </c>
      <c r="BG130" s="24">
        <f t="shared" si="159"/>
        <v>0</v>
      </c>
      <c r="BH130" s="24">
        <f t="shared" si="159"/>
        <v>0</v>
      </c>
      <c r="BI130" s="24">
        <f t="shared" si="159"/>
        <v>0</v>
      </c>
      <c r="BJ130" s="24">
        <f t="shared" si="159"/>
        <v>0</v>
      </c>
      <c r="BK130" s="24">
        <f t="shared" si="159"/>
        <v>0</v>
      </c>
      <c r="BL130" s="24">
        <f t="shared" si="159"/>
        <v>0</v>
      </c>
      <c r="BM130" s="24">
        <f t="shared" si="159"/>
        <v>0</v>
      </c>
      <c r="BN130" s="24"/>
      <c r="BO130" s="24"/>
      <c r="BP130" s="24">
        <f t="shared" si="160"/>
        <v>0</v>
      </c>
      <c r="BQ130" s="24">
        <f t="shared" si="161"/>
        <v>0</v>
      </c>
      <c r="BR130" s="25">
        <f t="shared" si="125"/>
        <v>0.97971187500000001</v>
      </c>
      <c r="BS130" s="24">
        <f t="shared" si="151"/>
        <v>78376950</v>
      </c>
      <c r="BT130" s="24"/>
      <c r="BU130" s="24"/>
      <c r="BV130" s="24"/>
      <c r="BW130" s="24"/>
      <c r="BX130" s="24">
        <f>+'[10]MARZO 2016 ULTIMO'!$H$1027</f>
        <v>78376950</v>
      </c>
      <c r="BY130" s="24"/>
      <c r="BZ130" s="24"/>
      <c r="CA130" s="24"/>
      <c r="CB130" s="24"/>
      <c r="CC130" s="24"/>
      <c r="CD130" s="24"/>
      <c r="CE130" s="24"/>
      <c r="CF130" s="24"/>
      <c r="CG130" s="24"/>
      <c r="CH130" s="24"/>
      <c r="CI130" s="24"/>
      <c r="CJ130" s="24"/>
      <c r="CK130" s="24"/>
      <c r="CL130" s="24"/>
      <c r="CM130" s="24"/>
      <c r="CN130" s="25">
        <f t="shared" si="127"/>
        <v>2.028812499999999E-2</v>
      </c>
      <c r="CO130" s="24">
        <f t="shared" si="152"/>
        <v>1623050</v>
      </c>
      <c r="CP130" s="24">
        <f t="shared" si="162"/>
        <v>0</v>
      </c>
      <c r="CQ130" s="24">
        <f t="shared" si="162"/>
        <v>0</v>
      </c>
      <c r="CR130" s="24">
        <f t="shared" si="162"/>
        <v>0</v>
      </c>
      <c r="CS130" s="24">
        <f t="shared" si="162"/>
        <v>1623050</v>
      </c>
      <c r="CT130" s="24">
        <f t="shared" si="162"/>
        <v>0</v>
      </c>
      <c r="CU130" s="24">
        <f t="shared" si="162"/>
        <v>0</v>
      </c>
      <c r="CV130" s="24">
        <f t="shared" si="163"/>
        <v>0</v>
      </c>
      <c r="CW130" s="24">
        <f t="shared" si="163"/>
        <v>0</v>
      </c>
      <c r="CX130" s="24">
        <f t="shared" si="163"/>
        <v>0</v>
      </c>
      <c r="CY130" s="24">
        <f t="shared" si="164"/>
        <v>0</v>
      </c>
      <c r="CZ130" s="24">
        <f t="shared" si="164"/>
        <v>0</v>
      </c>
      <c r="DA130" s="24">
        <f t="shared" si="164"/>
        <v>0</v>
      </c>
      <c r="DB130" s="24">
        <f t="shared" si="165"/>
        <v>0</v>
      </c>
      <c r="DC130" s="24">
        <f t="shared" si="165"/>
        <v>0</v>
      </c>
      <c r="DD130" s="24">
        <f t="shared" si="165"/>
        <v>0</v>
      </c>
      <c r="DE130" s="24"/>
      <c r="DF130" s="24">
        <f t="shared" si="166"/>
        <v>0</v>
      </c>
      <c r="DG130" s="24">
        <f t="shared" si="166"/>
        <v>0</v>
      </c>
      <c r="DH130" s="24">
        <f t="shared" si="166"/>
        <v>0</v>
      </c>
      <c r="DJ130" s="29">
        <f t="shared" si="110"/>
        <v>80000000</v>
      </c>
      <c r="DK130" s="29">
        <f t="shared" si="96"/>
        <v>80000000</v>
      </c>
      <c r="DL130" s="29">
        <f t="shared" si="97"/>
        <v>80000000</v>
      </c>
    </row>
    <row r="131" spans="1:116" ht="35.25" customHeight="1" x14ac:dyDescent="0.25">
      <c r="A131" s="238"/>
      <c r="B131" s="88" t="s">
        <v>363</v>
      </c>
      <c r="C131" s="69" t="s">
        <v>364</v>
      </c>
      <c r="D131" s="21" t="s">
        <v>365</v>
      </c>
      <c r="E131" s="94">
        <v>510</v>
      </c>
      <c r="F131" s="23" t="s">
        <v>366</v>
      </c>
      <c r="G131" s="24">
        <f t="shared" si="144"/>
        <v>110000000</v>
      </c>
      <c r="H131" s="24"/>
      <c r="I131" s="24"/>
      <c r="J131" s="24"/>
      <c r="K131" s="24">
        <v>110000000</v>
      </c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5">
        <f t="shared" si="117"/>
        <v>1</v>
      </c>
      <c r="AB131" s="24">
        <f t="shared" si="145"/>
        <v>110000000</v>
      </c>
      <c r="AC131" s="24"/>
      <c r="AD131" s="24"/>
      <c r="AE131" s="24"/>
      <c r="AF131" s="24"/>
      <c r="AG131" s="24">
        <f>+'[5]JULIO 2016'!$O$1895</f>
        <v>110000000</v>
      </c>
      <c r="AH131" s="24"/>
      <c r="AI131" s="24"/>
      <c r="AJ131" s="24"/>
      <c r="AK131" s="24"/>
      <c r="AL131" s="24"/>
      <c r="AM131" s="24"/>
      <c r="AN131" s="24"/>
      <c r="AO131" s="24"/>
      <c r="AP131" s="24"/>
      <c r="AQ131" s="24"/>
      <c r="AR131" s="24"/>
      <c r="AS131" s="24"/>
      <c r="AT131" s="24"/>
      <c r="AU131" s="24"/>
      <c r="AV131" s="24"/>
      <c r="AW131" s="25">
        <f t="shared" si="119"/>
        <v>0</v>
      </c>
      <c r="AX131" s="24">
        <f t="shared" si="146"/>
        <v>0</v>
      </c>
      <c r="AY131" s="24">
        <f t="shared" si="158"/>
        <v>0</v>
      </c>
      <c r="AZ131" s="24">
        <f t="shared" si="158"/>
        <v>0</v>
      </c>
      <c r="BA131" s="24">
        <f t="shared" si="158"/>
        <v>0</v>
      </c>
      <c r="BB131" s="24">
        <f t="shared" si="159"/>
        <v>0</v>
      </c>
      <c r="BC131" s="24">
        <f t="shared" si="159"/>
        <v>0</v>
      </c>
      <c r="BD131" s="24">
        <f t="shared" si="159"/>
        <v>0</v>
      </c>
      <c r="BE131" s="24">
        <f t="shared" si="159"/>
        <v>0</v>
      </c>
      <c r="BF131" s="24">
        <f t="shared" si="159"/>
        <v>0</v>
      </c>
      <c r="BG131" s="24">
        <f t="shared" si="159"/>
        <v>0</v>
      </c>
      <c r="BH131" s="24">
        <f t="shared" si="159"/>
        <v>0</v>
      </c>
      <c r="BI131" s="24">
        <f t="shared" si="159"/>
        <v>0</v>
      </c>
      <c r="BJ131" s="24">
        <f t="shared" si="159"/>
        <v>0</v>
      </c>
      <c r="BK131" s="24">
        <f t="shared" si="159"/>
        <v>0</v>
      </c>
      <c r="BL131" s="24">
        <f t="shared" si="159"/>
        <v>0</v>
      </c>
      <c r="BM131" s="24">
        <f t="shared" si="159"/>
        <v>0</v>
      </c>
      <c r="BN131" s="24"/>
      <c r="BO131" s="24"/>
      <c r="BP131" s="24">
        <f t="shared" si="160"/>
        <v>0</v>
      </c>
      <c r="BQ131" s="24">
        <f t="shared" si="161"/>
        <v>0</v>
      </c>
      <c r="BR131" s="25">
        <f t="shared" si="125"/>
        <v>0.97727465454545459</v>
      </c>
      <c r="BS131" s="24">
        <f t="shared" si="151"/>
        <v>107500212</v>
      </c>
      <c r="BT131" s="24"/>
      <c r="BU131" s="24"/>
      <c r="BV131" s="24"/>
      <c r="BW131" s="24"/>
      <c r="BX131" s="24">
        <f>+'[1]SEPTIEMBRE 2016'!$H$2935</f>
        <v>107500212</v>
      </c>
      <c r="BY131" s="24"/>
      <c r="BZ131" s="24"/>
      <c r="CA131" s="24"/>
      <c r="CB131" s="24"/>
      <c r="CC131" s="24"/>
      <c r="CD131" s="24"/>
      <c r="CE131" s="24"/>
      <c r="CF131" s="24"/>
      <c r="CG131" s="24"/>
      <c r="CH131" s="24"/>
      <c r="CI131" s="24"/>
      <c r="CJ131" s="24"/>
      <c r="CK131" s="24"/>
      <c r="CL131" s="24"/>
      <c r="CM131" s="24"/>
      <c r="CN131" s="25">
        <f t="shared" si="127"/>
        <v>2.2725345454545409E-2</v>
      </c>
      <c r="CO131" s="24">
        <f t="shared" si="152"/>
        <v>2499788</v>
      </c>
      <c r="CP131" s="24">
        <f t="shared" si="162"/>
        <v>0</v>
      </c>
      <c r="CQ131" s="24">
        <f t="shared" si="162"/>
        <v>0</v>
      </c>
      <c r="CR131" s="24">
        <f t="shared" si="162"/>
        <v>0</v>
      </c>
      <c r="CS131" s="24">
        <f t="shared" si="162"/>
        <v>2499788</v>
      </c>
      <c r="CT131" s="24">
        <f t="shared" si="162"/>
        <v>0</v>
      </c>
      <c r="CU131" s="24">
        <f t="shared" si="162"/>
        <v>0</v>
      </c>
      <c r="CV131" s="24">
        <f t="shared" si="163"/>
        <v>0</v>
      </c>
      <c r="CW131" s="24">
        <f t="shared" si="163"/>
        <v>0</v>
      </c>
      <c r="CX131" s="24">
        <f t="shared" si="163"/>
        <v>0</v>
      </c>
      <c r="CY131" s="24">
        <f t="shared" si="164"/>
        <v>0</v>
      </c>
      <c r="CZ131" s="24">
        <f t="shared" si="164"/>
        <v>0</v>
      </c>
      <c r="DA131" s="24">
        <f t="shared" si="164"/>
        <v>0</v>
      </c>
      <c r="DB131" s="24">
        <f t="shared" si="165"/>
        <v>0</v>
      </c>
      <c r="DC131" s="24">
        <f t="shared" si="165"/>
        <v>0</v>
      </c>
      <c r="DD131" s="24">
        <f t="shared" si="165"/>
        <v>0</v>
      </c>
      <c r="DE131" s="24"/>
      <c r="DF131" s="24">
        <f t="shared" si="166"/>
        <v>0</v>
      </c>
      <c r="DG131" s="24">
        <f t="shared" si="166"/>
        <v>0</v>
      </c>
      <c r="DH131" s="24">
        <f t="shared" si="166"/>
        <v>0</v>
      </c>
      <c r="DJ131" s="29">
        <f t="shared" si="110"/>
        <v>110000000</v>
      </c>
      <c r="DK131" s="29">
        <f t="shared" si="96"/>
        <v>110000000</v>
      </c>
      <c r="DL131" s="29">
        <f t="shared" si="97"/>
        <v>110000000</v>
      </c>
    </row>
    <row r="132" spans="1:116" ht="41.25" customHeight="1" x14ac:dyDescent="0.25">
      <c r="A132" s="239"/>
      <c r="B132" s="88" t="s">
        <v>367</v>
      </c>
      <c r="C132" s="69" t="s">
        <v>368</v>
      </c>
      <c r="D132" s="21" t="s">
        <v>369</v>
      </c>
      <c r="E132" s="94">
        <v>310</v>
      </c>
      <c r="F132" s="23" t="s">
        <v>370</v>
      </c>
      <c r="G132" s="24">
        <f t="shared" si="144"/>
        <v>275146880</v>
      </c>
      <c r="H132" s="24"/>
      <c r="I132" s="24"/>
      <c r="J132" s="24"/>
      <c r="K132" s="24">
        <v>243168096</v>
      </c>
      <c r="L132" s="24"/>
      <c r="M132" s="24"/>
      <c r="N132" s="24"/>
      <c r="O132" s="24"/>
      <c r="P132" s="24"/>
      <c r="Q132" s="24"/>
      <c r="R132" s="24">
        <v>4978784</v>
      </c>
      <c r="S132" s="24"/>
      <c r="T132" s="24"/>
      <c r="U132" s="24"/>
      <c r="V132" s="24"/>
      <c r="W132" s="24"/>
      <c r="X132" s="24"/>
      <c r="Y132" s="24"/>
      <c r="Z132" s="24">
        <f>25000000+2000000</f>
        <v>27000000</v>
      </c>
      <c r="AA132" s="25">
        <f t="shared" si="117"/>
        <v>0.54436535496968019</v>
      </c>
      <c r="AB132" s="24">
        <f t="shared" si="145"/>
        <v>149780429</v>
      </c>
      <c r="AC132" s="24"/>
      <c r="AD132" s="24"/>
      <c r="AE132" s="24"/>
      <c r="AF132" s="24"/>
      <c r="AG132" s="24">
        <f>+'[5]JULIO 2016'!$O$477</f>
        <v>145193691</v>
      </c>
      <c r="AH132" s="24"/>
      <c r="AI132" s="24"/>
      <c r="AJ132" s="24"/>
      <c r="AK132" s="24"/>
      <c r="AL132" s="24"/>
      <c r="AM132" s="24"/>
      <c r="AN132" s="24"/>
      <c r="AO132" s="24"/>
      <c r="AP132" s="24"/>
      <c r="AQ132" s="24"/>
      <c r="AR132" s="24"/>
      <c r="AS132" s="24"/>
      <c r="AT132" s="24"/>
      <c r="AU132" s="24"/>
      <c r="AV132" s="24">
        <f>+'[4]AGOSTO 2016'!$AG$556</f>
        <v>4586738</v>
      </c>
      <c r="AW132" s="25">
        <f t="shared" si="119"/>
        <v>0.45563464503031981</v>
      </c>
      <c r="AX132" s="24">
        <f t="shared" si="146"/>
        <v>125366451</v>
      </c>
      <c r="AY132" s="24">
        <f t="shared" si="158"/>
        <v>0</v>
      </c>
      <c r="AZ132" s="24">
        <f t="shared" si="158"/>
        <v>0</v>
      </c>
      <c r="BA132" s="24">
        <f t="shared" si="158"/>
        <v>0</v>
      </c>
      <c r="BB132" s="24">
        <f t="shared" si="159"/>
        <v>97974405</v>
      </c>
      <c r="BC132" s="24">
        <f t="shared" si="159"/>
        <v>0</v>
      </c>
      <c r="BD132" s="24">
        <f t="shared" si="159"/>
        <v>0</v>
      </c>
      <c r="BE132" s="24">
        <f t="shared" si="159"/>
        <v>0</v>
      </c>
      <c r="BF132" s="24">
        <f t="shared" si="159"/>
        <v>0</v>
      </c>
      <c r="BG132" s="24">
        <f t="shared" si="159"/>
        <v>0</v>
      </c>
      <c r="BH132" s="24">
        <f t="shared" si="159"/>
        <v>0</v>
      </c>
      <c r="BI132" s="24">
        <f t="shared" si="159"/>
        <v>4978784</v>
      </c>
      <c r="BJ132" s="24">
        <f t="shared" si="159"/>
        <v>0</v>
      </c>
      <c r="BK132" s="24">
        <f t="shared" si="159"/>
        <v>0</v>
      </c>
      <c r="BL132" s="24">
        <f t="shared" si="159"/>
        <v>0</v>
      </c>
      <c r="BM132" s="24">
        <f t="shared" si="159"/>
        <v>0</v>
      </c>
      <c r="BN132" s="24"/>
      <c r="BO132" s="24"/>
      <c r="BP132" s="24">
        <f t="shared" si="160"/>
        <v>0</v>
      </c>
      <c r="BQ132" s="24">
        <f t="shared" si="161"/>
        <v>22413262</v>
      </c>
      <c r="BR132" s="25">
        <f t="shared" si="125"/>
        <v>0.34381930480185713</v>
      </c>
      <c r="BS132" s="24">
        <f t="shared" si="151"/>
        <v>94600809</v>
      </c>
      <c r="BT132" s="24"/>
      <c r="BU132" s="24"/>
      <c r="BV132" s="24"/>
      <c r="BW132" s="24"/>
      <c r="BX132" s="24">
        <f>+'[1]SEPTIEMBRE 2016'!$H$680+'[1]SEPTIEMBRE 2016'!$H$684+'[1]SEPTIEMBRE 2016'!$H$686+'[1]SEPTIEMBRE 2016'!$H$688+'[1]SEPTIEMBRE 2016'!$H$689+'[1]SEPTIEMBRE 2016'!$H$735+'[1]SEPTIEMBRE 2016'!$H$736+'[1]SEPTIEMBRE 2016'!$H$739+'[1]SEPTIEMBRE 2016'!$H$740+'[1]SEPTIEMBRE 2016'!$H$747+'[1]SEPTIEMBRE 2016'!$H$748</f>
        <v>90014071</v>
      </c>
      <c r="BY132" s="24"/>
      <c r="BZ132" s="24"/>
      <c r="CA132" s="24"/>
      <c r="CB132" s="24"/>
      <c r="CC132" s="24"/>
      <c r="CD132" s="24"/>
      <c r="CE132" s="24"/>
      <c r="CF132" s="24"/>
      <c r="CG132" s="24"/>
      <c r="CH132" s="24"/>
      <c r="CI132" s="24"/>
      <c r="CJ132" s="24"/>
      <c r="CK132" s="24"/>
      <c r="CL132" s="24"/>
      <c r="CM132" s="24">
        <f>'[4]AGOSTO 2016'!$AG$606+'[4]AGOSTO 2016'!$H$615+'[4]AGOSTO 2016'!$H$616</f>
        <v>4586738</v>
      </c>
      <c r="CN132" s="25">
        <f t="shared" si="127"/>
        <v>0.65618069519814282</v>
      </c>
      <c r="CO132" s="24">
        <f t="shared" si="152"/>
        <v>180546071</v>
      </c>
      <c r="CP132" s="24">
        <f t="shared" si="162"/>
        <v>0</v>
      </c>
      <c r="CQ132" s="24">
        <f t="shared" si="162"/>
        <v>0</v>
      </c>
      <c r="CR132" s="24">
        <f t="shared" si="162"/>
        <v>0</v>
      </c>
      <c r="CS132" s="24">
        <f t="shared" si="162"/>
        <v>153154025</v>
      </c>
      <c r="CT132" s="24">
        <f t="shared" si="162"/>
        <v>0</v>
      </c>
      <c r="CU132" s="24">
        <f t="shared" si="162"/>
        <v>0</v>
      </c>
      <c r="CV132" s="24">
        <f t="shared" si="163"/>
        <v>0</v>
      </c>
      <c r="CW132" s="24">
        <f t="shared" si="163"/>
        <v>0</v>
      </c>
      <c r="CX132" s="24">
        <f t="shared" si="163"/>
        <v>0</v>
      </c>
      <c r="CY132" s="24">
        <f t="shared" si="164"/>
        <v>0</v>
      </c>
      <c r="CZ132" s="24">
        <f t="shared" si="164"/>
        <v>4978784</v>
      </c>
      <c r="DA132" s="24">
        <f t="shared" si="164"/>
        <v>0</v>
      </c>
      <c r="DB132" s="24">
        <f t="shared" si="165"/>
        <v>0</v>
      </c>
      <c r="DC132" s="24">
        <f t="shared" si="165"/>
        <v>0</v>
      </c>
      <c r="DD132" s="24">
        <f t="shared" si="165"/>
        <v>0</v>
      </c>
      <c r="DE132" s="24"/>
      <c r="DF132" s="24">
        <f t="shared" si="166"/>
        <v>0</v>
      </c>
      <c r="DG132" s="24">
        <f t="shared" si="166"/>
        <v>0</v>
      </c>
      <c r="DH132" s="24">
        <f t="shared" si="166"/>
        <v>22413262</v>
      </c>
      <c r="DJ132" s="29">
        <f t="shared" si="110"/>
        <v>275146880</v>
      </c>
      <c r="DK132" s="29">
        <f t="shared" si="96"/>
        <v>275146880</v>
      </c>
      <c r="DL132" s="29">
        <f t="shared" si="97"/>
        <v>275146880</v>
      </c>
    </row>
    <row r="133" spans="1:116" s="43" customFormat="1" ht="18.75" customHeight="1" thickBot="1" x14ac:dyDescent="0.3">
      <c r="A133" s="97"/>
      <c r="B133" s="252" t="s">
        <v>371</v>
      </c>
      <c r="C133" s="253"/>
      <c r="D133" s="254"/>
      <c r="E133" s="98"/>
      <c r="F133" s="99"/>
      <c r="G133" s="61">
        <f t="shared" ref="G133:Z133" si="167">SUM(G114:G132)</f>
        <v>12803395182</v>
      </c>
      <c r="H133" s="61">
        <f t="shared" si="167"/>
        <v>0</v>
      </c>
      <c r="I133" s="61">
        <f t="shared" si="167"/>
        <v>7357828308</v>
      </c>
      <c r="J133" s="61">
        <f t="shared" si="167"/>
        <v>171003327</v>
      </c>
      <c r="K133" s="61">
        <f t="shared" si="167"/>
        <v>630168096</v>
      </c>
      <c r="L133" s="61">
        <f t="shared" si="167"/>
        <v>0</v>
      </c>
      <c r="M133" s="61">
        <f t="shared" si="167"/>
        <v>54387</v>
      </c>
      <c r="N133" s="61">
        <f t="shared" si="167"/>
        <v>30665828</v>
      </c>
      <c r="O133" s="61">
        <f t="shared" si="167"/>
        <v>1940856</v>
      </c>
      <c r="P133" s="61">
        <f t="shared" si="167"/>
        <v>3438802</v>
      </c>
      <c r="Q133" s="61">
        <f t="shared" si="167"/>
        <v>345941457</v>
      </c>
      <c r="R133" s="61">
        <f t="shared" si="167"/>
        <v>4978784</v>
      </c>
      <c r="S133" s="61">
        <f t="shared" si="167"/>
        <v>390000000</v>
      </c>
      <c r="T133" s="61">
        <f t="shared" si="167"/>
        <v>485000000</v>
      </c>
      <c r="U133" s="61">
        <f t="shared" si="167"/>
        <v>6000000</v>
      </c>
      <c r="V133" s="61">
        <f t="shared" si="167"/>
        <v>0</v>
      </c>
      <c r="W133" s="61">
        <f t="shared" si="167"/>
        <v>0</v>
      </c>
      <c r="X133" s="61">
        <f t="shared" si="167"/>
        <v>2700000000</v>
      </c>
      <c r="Y133" s="61">
        <f t="shared" si="167"/>
        <v>0</v>
      </c>
      <c r="Z133" s="61">
        <f t="shared" si="167"/>
        <v>676375337</v>
      </c>
      <c r="AA133" s="39">
        <f t="shared" si="117"/>
        <v>0.68109361712584526</v>
      </c>
      <c r="AB133" s="61">
        <f>SUM(AB114:AB132)</f>
        <v>8720310736</v>
      </c>
      <c r="AC133" s="61"/>
      <c r="AD133" s="61">
        <f t="shared" ref="AD133:AV133" si="168">SUM(AD114:AD132)</f>
        <v>0</v>
      </c>
      <c r="AE133" s="61">
        <f t="shared" si="168"/>
        <v>4602133245</v>
      </c>
      <c r="AF133" s="61">
        <f t="shared" si="168"/>
        <v>147809410</v>
      </c>
      <c r="AG133" s="61">
        <f t="shared" si="168"/>
        <v>525161691</v>
      </c>
      <c r="AH133" s="61">
        <f t="shared" si="168"/>
        <v>0</v>
      </c>
      <c r="AI133" s="61">
        <f t="shared" si="168"/>
        <v>0</v>
      </c>
      <c r="AJ133" s="61">
        <f t="shared" si="168"/>
        <v>0</v>
      </c>
      <c r="AK133" s="61">
        <f t="shared" si="168"/>
        <v>0</v>
      </c>
      <c r="AL133" s="61">
        <f t="shared" si="168"/>
        <v>300000</v>
      </c>
      <c r="AM133" s="61">
        <f t="shared" si="168"/>
        <v>164856575</v>
      </c>
      <c r="AN133" s="61">
        <f t="shared" si="168"/>
        <v>0</v>
      </c>
      <c r="AO133" s="61">
        <f t="shared" si="168"/>
        <v>250000000</v>
      </c>
      <c r="AP133" s="61">
        <f t="shared" si="168"/>
        <v>451915027</v>
      </c>
      <c r="AQ133" s="61">
        <f t="shared" si="168"/>
        <v>0</v>
      </c>
      <c r="AR133" s="61">
        <f t="shared" si="168"/>
        <v>0</v>
      </c>
      <c r="AS133" s="61">
        <f t="shared" si="168"/>
        <v>0</v>
      </c>
      <c r="AT133" s="61">
        <f t="shared" si="168"/>
        <v>2399143215</v>
      </c>
      <c r="AU133" s="61">
        <f t="shared" si="168"/>
        <v>0</v>
      </c>
      <c r="AV133" s="61">
        <f t="shared" si="168"/>
        <v>178991573</v>
      </c>
      <c r="AW133" s="39">
        <f t="shared" si="119"/>
        <v>0.31890638287415474</v>
      </c>
      <c r="AX133" s="61">
        <f>SUM(AX114:AX132)</f>
        <v>4083084446</v>
      </c>
      <c r="AY133" s="61">
        <f t="shared" ref="AY133:BQ133" si="169">SUM(AY114:AY132)</f>
        <v>0</v>
      </c>
      <c r="AZ133" s="61">
        <f t="shared" si="169"/>
        <v>2755695063</v>
      </c>
      <c r="BA133" s="61">
        <f t="shared" si="169"/>
        <v>23193917</v>
      </c>
      <c r="BB133" s="61">
        <f t="shared" si="169"/>
        <v>105006405</v>
      </c>
      <c r="BC133" s="61">
        <f t="shared" si="169"/>
        <v>0</v>
      </c>
      <c r="BD133" s="61">
        <f t="shared" si="169"/>
        <v>54387</v>
      </c>
      <c r="BE133" s="61">
        <f t="shared" si="169"/>
        <v>30665828</v>
      </c>
      <c r="BF133" s="61">
        <f t="shared" si="169"/>
        <v>1940856</v>
      </c>
      <c r="BG133" s="61">
        <f t="shared" si="169"/>
        <v>3138802</v>
      </c>
      <c r="BH133" s="61">
        <f t="shared" si="169"/>
        <v>181084882</v>
      </c>
      <c r="BI133" s="61">
        <f t="shared" si="169"/>
        <v>4978784</v>
      </c>
      <c r="BJ133" s="61">
        <f t="shared" si="169"/>
        <v>140000000</v>
      </c>
      <c r="BK133" s="61">
        <f t="shared" si="169"/>
        <v>33084973</v>
      </c>
      <c r="BL133" s="61">
        <f t="shared" si="169"/>
        <v>6000000</v>
      </c>
      <c r="BM133" s="61">
        <f t="shared" si="169"/>
        <v>0</v>
      </c>
      <c r="BN133" s="61">
        <f t="shared" si="169"/>
        <v>0</v>
      </c>
      <c r="BO133" s="61">
        <f t="shared" si="169"/>
        <v>300856785</v>
      </c>
      <c r="BP133" s="61">
        <f t="shared" si="169"/>
        <v>0</v>
      </c>
      <c r="BQ133" s="61">
        <f t="shared" si="169"/>
        <v>497383764</v>
      </c>
      <c r="BR133" s="39">
        <f t="shared" si="125"/>
        <v>0.45602872605295486</v>
      </c>
      <c r="BS133" s="61">
        <f t="shared" ref="BS133:CI133" si="170">SUM(BS114:BS132)</f>
        <v>5838715994</v>
      </c>
      <c r="BT133" s="61">
        <f t="shared" si="170"/>
        <v>0</v>
      </c>
      <c r="BU133" s="61">
        <f t="shared" si="170"/>
        <v>0</v>
      </c>
      <c r="BV133" s="61">
        <f t="shared" si="170"/>
        <v>3818217810</v>
      </c>
      <c r="BW133" s="61">
        <f t="shared" si="170"/>
        <v>147809402</v>
      </c>
      <c r="BX133" s="61">
        <f t="shared" si="170"/>
        <v>459092511</v>
      </c>
      <c r="BY133" s="61">
        <f t="shared" si="170"/>
        <v>0</v>
      </c>
      <c r="BZ133" s="61">
        <f t="shared" si="170"/>
        <v>0</v>
      </c>
      <c r="CA133" s="61">
        <f t="shared" si="170"/>
        <v>0</v>
      </c>
      <c r="CB133" s="61">
        <f t="shared" si="170"/>
        <v>0</v>
      </c>
      <c r="CC133" s="61">
        <f t="shared" si="170"/>
        <v>300000</v>
      </c>
      <c r="CD133" s="61">
        <f t="shared" si="170"/>
        <v>130112725</v>
      </c>
      <c r="CE133" s="61">
        <f t="shared" si="170"/>
        <v>0</v>
      </c>
      <c r="CF133" s="61">
        <f t="shared" si="170"/>
        <v>249680327</v>
      </c>
      <c r="CG133" s="61">
        <f t="shared" si="170"/>
        <v>451915027</v>
      </c>
      <c r="CH133" s="61">
        <f t="shared" si="170"/>
        <v>0</v>
      </c>
      <c r="CI133" s="61">
        <f t="shared" si="170"/>
        <v>0</v>
      </c>
      <c r="CJ133" s="61"/>
      <c r="CK133" s="61">
        <f>SUM(CK114:CK132)</f>
        <v>429051059</v>
      </c>
      <c r="CL133" s="61">
        <f>SUM(CL114:CL132)</f>
        <v>0</v>
      </c>
      <c r="CM133" s="61">
        <f>SUM(CM114:CM132)</f>
        <v>152537133</v>
      </c>
      <c r="CN133" s="39">
        <f t="shared" si="127"/>
        <v>0.54397127394704514</v>
      </c>
      <c r="CO133" s="61">
        <f t="shared" ref="CO133:DH133" si="171">SUM(CO114:CO132)</f>
        <v>6964679188</v>
      </c>
      <c r="CP133" s="61">
        <f t="shared" si="171"/>
        <v>0</v>
      </c>
      <c r="CQ133" s="61">
        <f t="shared" si="171"/>
        <v>3539610498</v>
      </c>
      <c r="CR133" s="61">
        <f t="shared" si="171"/>
        <v>23193925</v>
      </c>
      <c r="CS133" s="61">
        <f t="shared" si="171"/>
        <v>171075585</v>
      </c>
      <c r="CT133" s="61">
        <f t="shared" si="171"/>
        <v>0</v>
      </c>
      <c r="CU133" s="61">
        <f t="shared" si="171"/>
        <v>54387</v>
      </c>
      <c r="CV133" s="61">
        <f t="shared" si="171"/>
        <v>30665828</v>
      </c>
      <c r="CW133" s="61">
        <f t="shared" si="171"/>
        <v>1940856</v>
      </c>
      <c r="CX133" s="61">
        <f t="shared" si="171"/>
        <v>3138802</v>
      </c>
      <c r="CY133" s="61">
        <f t="shared" si="171"/>
        <v>215828732</v>
      </c>
      <c r="CZ133" s="61">
        <f t="shared" si="171"/>
        <v>4978784</v>
      </c>
      <c r="DA133" s="61">
        <f t="shared" si="171"/>
        <v>140319673</v>
      </c>
      <c r="DB133" s="61">
        <f t="shared" si="171"/>
        <v>33084973</v>
      </c>
      <c r="DC133" s="61">
        <f t="shared" si="171"/>
        <v>6000000</v>
      </c>
      <c r="DD133" s="61">
        <f t="shared" si="171"/>
        <v>0</v>
      </c>
      <c r="DE133" s="61">
        <f t="shared" si="171"/>
        <v>0</v>
      </c>
      <c r="DF133" s="61">
        <f t="shared" si="171"/>
        <v>2270948941</v>
      </c>
      <c r="DG133" s="61">
        <f t="shared" si="171"/>
        <v>0</v>
      </c>
      <c r="DH133" s="61">
        <f t="shared" si="171"/>
        <v>523838204</v>
      </c>
      <c r="DJ133" s="29">
        <f t="shared" si="110"/>
        <v>12803395182</v>
      </c>
      <c r="DK133" s="29">
        <f t="shared" si="96"/>
        <v>12803395182</v>
      </c>
      <c r="DL133" s="29">
        <f t="shared" si="97"/>
        <v>12803395182</v>
      </c>
    </row>
    <row r="134" spans="1:116" ht="5.25" customHeight="1" thickTop="1" x14ac:dyDescent="0.25">
      <c r="C134" s="100"/>
      <c r="D134" s="100"/>
      <c r="E134" s="100"/>
      <c r="F134" s="100"/>
      <c r="G134" s="101"/>
      <c r="H134" s="101"/>
      <c r="I134" s="102"/>
      <c r="J134" s="101"/>
      <c r="K134" s="103"/>
      <c r="L134" s="103"/>
      <c r="M134" s="103"/>
      <c r="N134" s="103"/>
      <c r="O134" s="103"/>
      <c r="P134" s="103"/>
      <c r="Q134" s="103"/>
      <c r="R134" s="103"/>
      <c r="S134" s="103"/>
      <c r="T134" s="103"/>
      <c r="U134" s="103"/>
      <c r="V134" s="103"/>
      <c r="W134" s="103"/>
      <c r="X134" s="103"/>
      <c r="Y134" s="103"/>
      <c r="Z134" s="103"/>
      <c r="AA134" s="104"/>
      <c r="AB134" s="47"/>
      <c r="AC134" s="47"/>
      <c r="AD134" s="47"/>
      <c r="AE134" s="47"/>
      <c r="AF134" s="47"/>
      <c r="AG134" s="47"/>
      <c r="AH134" s="47"/>
      <c r="AI134" s="47"/>
      <c r="AJ134" s="47"/>
      <c r="AK134" s="47"/>
      <c r="AL134" s="47"/>
      <c r="AM134" s="47"/>
      <c r="AN134" s="47"/>
      <c r="AO134" s="47"/>
      <c r="AP134" s="47"/>
      <c r="AQ134" s="47"/>
      <c r="AR134" s="47"/>
      <c r="AS134" s="47"/>
      <c r="AT134" s="47"/>
      <c r="AU134" s="47"/>
      <c r="AV134" s="47"/>
      <c r="AW134" s="104"/>
      <c r="AX134" s="47"/>
      <c r="AY134" s="47"/>
      <c r="AZ134" s="47"/>
      <c r="BA134" s="47"/>
      <c r="BB134" s="47"/>
      <c r="BC134" s="47"/>
      <c r="BD134" s="47"/>
      <c r="BE134" s="47"/>
      <c r="BF134" s="47"/>
      <c r="BG134" s="47"/>
      <c r="BH134" s="47"/>
      <c r="BI134" s="47"/>
      <c r="BJ134" s="47"/>
      <c r="BK134" s="47"/>
      <c r="BL134" s="47"/>
      <c r="BM134" s="47"/>
      <c r="BN134" s="47"/>
      <c r="BO134" s="47"/>
      <c r="BP134" s="47"/>
      <c r="BQ134" s="47"/>
      <c r="BR134" s="104"/>
      <c r="BS134" s="105"/>
      <c r="BT134" s="47"/>
      <c r="BU134" s="47"/>
      <c r="BV134" s="47"/>
      <c r="BW134" s="47"/>
      <c r="BX134" s="47"/>
      <c r="BY134" s="47"/>
      <c r="BZ134" s="47"/>
      <c r="CA134" s="47"/>
      <c r="CB134" s="47"/>
      <c r="CC134" s="47"/>
      <c r="CD134" s="47"/>
      <c r="CE134" s="47"/>
      <c r="CF134" s="47"/>
      <c r="CG134" s="47"/>
      <c r="CH134" s="47"/>
      <c r="CI134" s="47"/>
      <c r="CJ134" s="47"/>
      <c r="CK134" s="47"/>
      <c r="CL134" s="47"/>
      <c r="CM134" s="47"/>
      <c r="CN134" s="104"/>
      <c r="CO134" s="47"/>
      <c r="CP134" s="47"/>
      <c r="CQ134" s="47"/>
      <c r="CR134" s="47"/>
      <c r="CS134" s="47"/>
      <c r="CT134" s="47"/>
      <c r="CU134" s="47"/>
      <c r="CV134" s="47"/>
      <c r="CW134" s="47"/>
      <c r="CX134" s="47"/>
      <c r="CY134" s="47"/>
      <c r="CZ134" s="47"/>
      <c r="DA134" s="47"/>
      <c r="DB134" s="47"/>
      <c r="DC134" s="47"/>
      <c r="DD134" s="47"/>
      <c r="DE134" s="47"/>
      <c r="DF134" s="47"/>
      <c r="DG134" s="47"/>
      <c r="DH134" s="47"/>
      <c r="DJ134" s="29">
        <f t="shared" si="110"/>
        <v>0</v>
      </c>
      <c r="DK134" s="29">
        <f t="shared" si="96"/>
        <v>0</v>
      </c>
      <c r="DL134" s="29">
        <f t="shared" si="97"/>
        <v>0</v>
      </c>
    </row>
    <row r="135" spans="1:116" ht="19.5" customHeight="1" x14ac:dyDescent="0.25">
      <c r="C135" s="255" t="s">
        <v>372</v>
      </c>
      <c r="D135" s="256"/>
      <c r="E135" s="257"/>
      <c r="F135" s="106"/>
      <c r="G135" s="47">
        <f t="shared" ref="G135:Z135" si="172">G20+G60+G93+G113+G133</f>
        <v>24962031699</v>
      </c>
      <c r="H135" s="47">
        <f t="shared" si="172"/>
        <v>200000000</v>
      </c>
      <c r="I135" s="47">
        <f t="shared" si="172"/>
        <v>10524093099</v>
      </c>
      <c r="J135" s="47">
        <f t="shared" si="172"/>
        <v>171003327</v>
      </c>
      <c r="K135" s="47">
        <f t="shared" si="172"/>
        <v>2601016897</v>
      </c>
      <c r="L135" s="47">
        <f t="shared" si="172"/>
        <v>138372986</v>
      </c>
      <c r="M135" s="47">
        <f t="shared" si="172"/>
        <v>54387</v>
      </c>
      <c r="N135" s="47">
        <f t="shared" si="172"/>
        <v>30665828</v>
      </c>
      <c r="O135" s="47">
        <f t="shared" si="172"/>
        <v>1940856</v>
      </c>
      <c r="P135" s="47">
        <f t="shared" si="172"/>
        <v>3438802</v>
      </c>
      <c r="Q135" s="47">
        <f t="shared" si="172"/>
        <v>345941457</v>
      </c>
      <c r="R135" s="47">
        <f t="shared" si="172"/>
        <v>2094582849</v>
      </c>
      <c r="S135" s="47">
        <f t="shared" si="172"/>
        <v>1142029623</v>
      </c>
      <c r="T135" s="47">
        <f t="shared" si="172"/>
        <v>486796640</v>
      </c>
      <c r="U135" s="47">
        <f t="shared" si="172"/>
        <v>1306076765</v>
      </c>
      <c r="V135" s="47">
        <f t="shared" si="172"/>
        <v>1262551657</v>
      </c>
      <c r="W135" s="47">
        <f t="shared" si="172"/>
        <v>51295383</v>
      </c>
      <c r="X135" s="47">
        <f t="shared" si="172"/>
        <v>2700000000</v>
      </c>
      <c r="Y135" s="47">
        <f t="shared" si="172"/>
        <v>204741836</v>
      </c>
      <c r="Z135" s="47">
        <f t="shared" si="172"/>
        <v>1697429307</v>
      </c>
      <c r="AA135" s="107">
        <f>+AB135/G135</f>
        <v>0.75848075650663005</v>
      </c>
      <c r="AB135" s="47">
        <f>AB20+AB60+AB93+AB113+AB133</f>
        <v>18933220687</v>
      </c>
      <c r="AC135" s="47"/>
      <c r="AD135" s="47">
        <f t="shared" ref="AD135:AV135" si="173">AD20+AD60+AD93+AD113+AD133</f>
        <v>198408143</v>
      </c>
      <c r="AE135" s="47">
        <f t="shared" si="173"/>
        <v>6912103504</v>
      </c>
      <c r="AF135" s="47">
        <f t="shared" si="173"/>
        <v>147809410</v>
      </c>
      <c r="AG135" s="47">
        <f t="shared" si="173"/>
        <v>2318994702</v>
      </c>
      <c r="AH135" s="47">
        <f t="shared" si="173"/>
        <v>106863498</v>
      </c>
      <c r="AI135" s="47">
        <f t="shared" si="173"/>
        <v>0</v>
      </c>
      <c r="AJ135" s="47">
        <f t="shared" si="173"/>
        <v>0</v>
      </c>
      <c r="AK135" s="47">
        <f t="shared" si="173"/>
        <v>0</v>
      </c>
      <c r="AL135" s="47">
        <f t="shared" si="173"/>
        <v>300000</v>
      </c>
      <c r="AM135" s="47">
        <f t="shared" si="173"/>
        <v>164856575</v>
      </c>
      <c r="AN135" s="47">
        <f t="shared" si="173"/>
        <v>1974981668</v>
      </c>
      <c r="AO135" s="47">
        <f t="shared" si="173"/>
        <v>885432962</v>
      </c>
      <c r="AP135" s="47">
        <f t="shared" si="173"/>
        <v>453711667</v>
      </c>
      <c r="AQ135" s="47">
        <f t="shared" si="173"/>
        <v>1060918457</v>
      </c>
      <c r="AR135" s="47">
        <f t="shared" si="173"/>
        <v>1158469451</v>
      </c>
      <c r="AS135" s="47">
        <f t="shared" si="173"/>
        <v>51295383</v>
      </c>
      <c r="AT135" s="47">
        <f t="shared" si="173"/>
        <v>2399143215</v>
      </c>
      <c r="AU135" s="47">
        <f t="shared" si="173"/>
        <v>114321836</v>
      </c>
      <c r="AV135" s="47">
        <f t="shared" si="173"/>
        <v>985610216</v>
      </c>
      <c r="AW135" s="108">
        <f>1-AA135</f>
        <v>0.24151924349336995</v>
      </c>
      <c r="AX135" s="47">
        <f t="shared" ref="AX135:BQ135" si="174">AX20+AX60+AX93+AX113+AX133</f>
        <v>6028811012</v>
      </c>
      <c r="AY135" s="47">
        <f t="shared" si="174"/>
        <v>1591857</v>
      </c>
      <c r="AZ135" s="47">
        <f t="shared" si="174"/>
        <v>3611989595</v>
      </c>
      <c r="BA135" s="47">
        <f t="shared" si="174"/>
        <v>23193917</v>
      </c>
      <c r="BB135" s="47">
        <f t="shared" si="174"/>
        <v>282022195</v>
      </c>
      <c r="BC135" s="47">
        <f t="shared" si="174"/>
        <v>31509488</v>
      </c>
      <c r="BD135" s="47">
        <f t="shared" si="174"/>
        <v>54387</v>
      </c>
      <c r="BE135" s="47">
        <f t="shared" si="174"/>
        <v>30665828</v>
      </c>
      <c r="BF135" s="47">
        <f t="shared" si="174"/>
        <v>1940856</v>
      </c>
      <c r="BG135" s="47">
        <f t="shared" si="174"/>
        <v>3138802</v>
      </c>
      <c r="BH135" s="47">
        <f t="shared" si="174"/>
        <v>181084882</v>
      </c>
      <c r="BI135" s="47">
        <f t="shared" si="174"/>
        <v>119601181</v>
      </c>
      <c r="BJ135" s="47">
        <f t="shared" si="174"/>
        <v>256596661</v>
      </c>
      <c r="BK135" s="47">
        <f t="shared" si="174"/>
        <v>33084973</v>
      </c>
      <c r="BL135" s="47">
        <f t="shared" si="174"/>
        <v>245158308</v>
      </c>
      <c r="BM135" s="47">
        <f t="shared" si="174"/>
        <v>104082206</v>
      </c>
      <c r="BN135" s="47">
        <f t="shared" si="174"/>
        <v>0</v>
      </c>
      <c r="BO135" s="47">
        <f t="shared" si="174"/>
        <v>300856785</v>
      </c>
      <c r="BP135" s="47">
        <f t="shared" si="174"/>
        <v>90420000</v>
      </c>
      <c r="BQ135" s="47">
        <f t="shared" si="174"/>
        <v>711819091</v>
      </c>
      <c r="BR135" s="108">
        <f>+BS135/G135</f>
        <v>0.57085150687357122</v>
      </c>
      <c r="BS135" s="47">
        <f t="shared" ref="BS135:CM135" si="175">BS20+BS60+BS93+BS113+BS133</f>
        <v>14249613410</v>
      </c>
      <c r="BT135" s="47">
        <f t="shared" si="175"/>
        <v>0</v>
      </c>
      <c r="BU135" s="47">
        <f t="shared" si="175"/>
        <v>198408143</v>
      </c>
      <c r="BV135" s="47">
        <f t="shared" si="175"/>
        <v>5486815419</v>
      </c>
      <c r="BW135" s="47">
        <f t="shared" si="175"/>
        <v>147809402</v>
      </c>
      <c r="BX135" s="47">
        <f t="shared" si="175"/>
        <v>2097989036</v>
      </c>
      <c r="BY135" s="47">
        <f t="shared" si="175"/>
        <v>106769230</v>
      </c>
      <c r="BZ135" s="47">
        <f t="shared" si="175"/>
        <v>0</v>
      </c>
      <c r="CA135" s="47">
        <f t="shared" si="175"/>
        <v>0</v>
      </c>
      <c r="CB135" s="47">
        <f t="shared" si="175"/>
        <v>0</v>
      </c>
      <c r="CC135" s="47">
        <f t="shared" si="175"/>
        <v>300000</v>
      </c>
      <c r="CD135" s="47">
        <f t="shared" si="175"/>
        <v>130112725</v>
      </c>
      <c r="CE135" s="47">
        <f t="shared" si="175"/>
        <v>1388135369</v>
      </c>
      <c r="CF135" s="47">
        <f t="shared" si="175"/>
        <v>867625319</v>
      </c>
      <c r="CG135" s="47">
        <f t="shared" si="175"/>
        <v>453711667</v>
      </c>
      <c r="CH135" s="47">
        <f t="shared" si="175"/>
        <v>934853833</v>
      </c>
      <c r="CI135" s="47">
        <f t="shared" si="175"/>
        <v>1044337414</v>
      </c>
      <c r="CJ135" s="47">
        <f t="shared" si="175"/>
        <v>5867630</v>
      </c>
      <c r="CK135" s="47">
        <f t="shared" si="175"/>
        <v>429051059</v>
      </c>
      <c r="CL135" s="47">
        <f t="shared" si="175"/>
        <v>23350298</v>
      </c>
      <c r="CM135" s="47">
        <f t="shared" si="175"/>
        <v>934476866</v>
      </c>
      <c r="CN135" s="25">
        <f>1-BR135</f>
        <v>0.42914849312642878</v>
      </c>
      <c r="CO135" s="47">
        <f t="shared" ref="CO135:DH135" si="176">CO20+CO60+CO93+CO113+CO133</f>
        <v>10712418289</v>
      </c>
      <c r="CP135" s="47">
        <f t="shared" si="176"/>
        <v>1591857</v>
      </c>
      <c r="CQ135" s="47">
        <f t="shared" si="176"/>
        <v>5037277680</v>
      </c>
      <c r="CR135" s="47">
        <f t="shared" si="176"/>
        <v>23193925</v>
      </c>
      <c r="CS135" s="47">
        <f t="shared" si="176"/>
        <v>503027861</v>
      </c>
      <c r="CT135" s="47">
        <f t="shared" si="176"/>
        <v>31603756</v>
      </c>
      <c r="CU135" s="47">
        <f t="shared" si="176"/>
        <v>54387</v>
      </c>
      <c r="CV135" s="47">
        <f t="shared" si="176"/>
        <v>30665828</v>
      </c>
      <c r="CW135" s="47">
        <f t="shared" si="176"/>
        <v>1940856</v>
      </c>
      <c r="CX135" s="47">
        <f t="shared" si="176"/>
        <v>3138802</v>
      </c>
      <c r="CY135" s="47">
        <f t="shared" si="176"/>
        <v>215828732</v>
      </c>
      <c r="CZ135" s="47">
        <f t="shared" si="176"/>
        <v>706447480</v>
      </c>
      <c r="DA135" s="47">
        <f t="shared" si="176"/>
        <v>274404304</v>
      </c>
      <c r="DB135" s="47">
        <f t="shared" si="176"/>
        <v>33084973</v>
      </c>
      <c r="DC135" s="47">
        <f t="shared" si="176"/>
        <v>371222932</v>
      </c>
      <c r="DD135" s="47">
        <f t="shared" si="176"/>
        <v>218214243</v>
      </c>
      <c r="DE135" s="47">
        <f t="shared" si="176"/>
        <v>45427753</v>
      </c>
      <c r="DF135" s="47">
        <f t="shared" si="176"/>
        <v>2270948941</v>
      </c>
      <c r="DG135" s="47">
        <f t="shared" si="176"/>
        <v>181391538</v>
      </c>
      <c r="DH135" s="47">
        <f t="shared" si="176"/>
        <v>762952441</v>
      </c>
      <c r="DJ135" s="29">
        <f t="shared" si="110"/>
        <v>24962031699</v>
      </c>
      <c r="DK135" s="29">
        <f t="shared" si="96"/>
        <v>24962031699</v>
      </c>
      <c r="DL135" s="29">
        <f t="shared" si="97"/>
        <v>24962031699</v>
      </c>
    </row>
    <row r="136" spans="1:116" ht="5.25" customHeight="1" x14ac:dyDescent="0.25">
      <c r="C136" s="109"/>
      <c r="D136" s="109"/>
      <c r="E136" s="110"/>
      <c r="F136" s="110"/>
      <c r="G136" s="111"/>
      <c r="H136" s="111"/>
      <c r="I136" s="112"/>
      <c r="J136" s="111"/>
      <c r="K136" s="113"/>
      <c r="L136" s="113"/>
      <c r="M136" s="113"/>
      <c r="N136" s="113"/>
      <c r="O136" s="113"/>
      <c r="P136" s="113"/>
      <c r="Q136" s="113"/>
      <c r="R136" s="113"/>
      <c r="S136" s="113"/>
      <c r="T136" s="113"/>
      <c r="U136" s="113"/>
      <c r="V136" s="113"/>
      <c r="W136" s="113"/>
      <c r="X136" s="113"/>
      <c r="Y136" s="113"/>
      <c r="Z136" s="113"/>
      <c r="AA136" s="114"/>
      <c r="AB136" s="115"/>
      <c r="AC136" s="115"/>
      <c r="AD136" s="115"/>
      <c r="AE136" s="115"/>
      <c r="AF136" s="115"/>
      <c r="AG136" s="113"/>
      <c r="AH136" s="113"/>
      <c r="AI136" s="113"/>
      <c r="AJ136" s="113"/>
      <c r="AK136" s="113"/>
      <c r="AL136" s="113"/>
      <c r="AM136" s="113"/>
      <c r="AN136" s="113"/>
      <c r="AO136" s="113"/>
      <c r="AP136" s="113"/>
      <c r="AQ136" s="113"/>
      <c r="AR136" s="113"/>
      <c r="AS136" s="113"/>
      <c r="AT136" s="113"/>
      <c r="AU136" s="113"/>
      <c r="AV136" s="113"/>
      <c r="AW136" s="114"/>
      <c r="AX136" s="115"/>
      <c r="AY136" s="115"/>
      <c r="AZ136" s="115"/>
      <c r="BA136" s="115"/>
      <c r="BB136" s="116"/>
      <c r="BC136" s="116"/>
      <c r="BD136" s="116"/>
      <c r="BE136" s="116"/>
      <c r="BF136" s="116"/>
      <c r="BG136" s="116"/>
      <c r="BH136" s="116"/>
      <c r="BI136" s="116"/>
      <c r="BJ136" s="116"/>
      <c r="BK136" s="116"/>
      <c r="BL136" s="116"/>
      <c r="BM136" s="116"/>
      <c r="BN136" s="116"/>
      <c r="BO136" s="116"/>
      <c r="BP136" s="116"/>
      <c r="BQ136" s="116"/>
      <c r="BR136" s="114"/>
      <c r="BS136" s="117"/>
      <c r="BT136" s="118"/>
      <c r="BU136" s="118"/>
      <c r="BV136" s="118"/>
      <c r="BW136" s="118"/>
      <c r="BX136" s="113"/>
      <c r="BY136" s="113"/>
      <c r="BZ136" s="113"/>
      <c r="CA136" s="113"/>
      <c r="CB136" s="113"/>
      <c r="CC136" s="113"/>
      <c r="CD136" s="113"/>
      <c r="CE136" s="113"/>
      <c r="CF136" s="113"/>
      <c r="CG136" s="113"/>
      <c r="CH136" s="113"/>
      <c r="CI136" s="113"/>
      <c r="CJ136" s="113"/>
      <c r="CK136" s="113"/>
      <c r="CL136" s="113"/>
      <c r="CM136" s="113"/>
      <c r="CN136" s="25"/>
      <c r="CO136" s="119"/>
      <c r="CP136" s="115"/>
      <c r="CQ136" s="115"/>
      <c r="CR136" s="115"/>
      <c r="CS136" s="116"/>
      <c r="CT136" s="116"/>
      <c r="CU136" s="116"/>
      <c r="CV136" s="116"/>
      <c r="CW136" s="116"/>
      <c r="CX136" s="116"/>
      <c r="CY136" s="116"/>
      <c r="CZ136" s="116"/>
      <c r="DA136" s="116"/>
      <c r="DB136" s="116"/>
      <c r="DC136" s="116"/>
      <c r="DD136" s="116"/>
      <c r="DE136" s="116"/>
      <c r="DF136" s="116"/>
      <c r="DG136" s="116"/>
      <c r="DH136" s="116"/>
      <c r="DJ136" s="29">
        <f t="shared" si="110"/>
        <v>0</v>
      </c>
      <c r="DK136" s="29">
        <f t="shared" si="96"/>
        <v>0</v>
      </c>
      <c r="DL136" s="29">
        <f t="shared" si="97"/>
        <v>0</v>
      </c>
    </row>
    <row r="137" spans="1:116" ht="16.5" customHeight="1" x14ac:dyDescent="0.25">
      <c r="C137" s="120"/>
      <c r="D137" s="121" t="s">
        <v>373</v>
      </c>
      <c r="E137" s="114">
        <v>111</v>
      </c>
      <c r="F137" s="122"/>
      <c r="G137" s="123">
        <f>SUMIF($E$4:$E$132,"111",$G$4:$G$132)</f>
        <v>4952937690</v>
      </c>
      <c r="H137" s="124">
        <f>SUMIF($E$4:$E$133,"111",$H$4:$H$133)</f>
        <v>0</v>
      </c>
      <c r="I137" s="124">
        <f>SUMIF($E$4:$E$133,"111",$I$4:$I$133)</f>
        <v>4130647071</v>
      </c>
      <c r="J137" s="123">
        <f>SUMIF($E$4:$E$132,"111",$J$4:$J$132)</f>
        <v>171003327</v>
      </c>
      <c r="K137" s="122">
        <f>SUMIF($E$4:$E$133,"111",$K$4:$K$133)</f>
        <v>0</v>
      </c>
      <c r="L137" s="122">
        <f>SUMIF($E$4:$E$132,"111",$L$4:$L$132)</f>
        <v>0</v>
      </c>
      <c r="M137" s="122">
        <f>SUMIF($E$4:$E$132,"111",$M$4:$M$132)</f>
        <v>54387</v>
      </c>
      <c r="N137" s="122">
        <f>SUMIF($E$4:$E$132,"111",$N$4:$N$132)</f>
        <v>30665828</v>
      </c>
      <c r="O137" s="122">
        <f>SUMIF($E$4:$E$132,"111",$O$4:$O$132)</f>
        <v>1940856</v>
      </c>
      <c r="P137" s="122">
        <f>SUMIF($E$4:$E$132,"111",$P$4:$P$132)</f>
        <v>3438802</v>
      </c>
      <c r="Q137" s="122">
        <f>SUMIF($E$4:$E$132,"111",$Q$4:$Q$132)</f>
        <v>250509069</v>
      </c>
      <c r="R137" s="122">
        <f>SUMIF($E$4:$E$132,"111",$R$4:$R$132)</f>
        <v>0</v>
      </c>
      <c r="S137" s="122">
        <f>SUMIF($E$4:$E$132,"111",$S$4:$S$132)</f>
        <v>0</v>
      </c>
      <c r="T137" s="122">
        <f>SUMIF($E$4:$E$132,"111",$T$4:$T$132)</f>
        <v>0</v>
      </c>
      <c r="U137" s="122">
        <f>SUMIF($E$4:$E$132,"111",$U$4:$U$132)</f>
        <v>0</v>
      </c>
      <c r="V137" s="122">
        <f>SUMIF($E$4:$E$132,"111",$V$4:$V$132)</f>
        <v>0</v>
      </c>
      <c r="W137" s="122"/>
      <c r="X137" s="122">
        <f>SUMIF($E$4:$E$132,"111",$X$4:$X$132)</f>
        <v>0</v>
      </c>
      <c r="Y137" s="122">
        <f>SUMIF($E$4:$E$132,"111",$Y$4:$Y$132)</f>
        <v>0</v>
      </c>
      <c r="Z137" s="122">
        <f>SUMIF($E$4:$E$132,"111",$Z$4:$Z$132)</f>
        <v>364678350</v>
      </c>
      <c r="AA137" s="125">
        <f t="shared" ref="AA137:AA146" si="177">+AB137/G137</f>
        <v>0.52460505494467469</v>
      </c>
      <c r="AB137" s="28">
        <f t="shared" ref="AB137:AB143" si="178">SUM(AD137:AV137)</f>
        <v>2598336149</v>
      </c>
      <c r="AC137" s="123">
        <f>SUMIF($E$4:$E$132,"111",$AC$4:$AC$132)</f>
        <v>0</v>
      </c>
      <c r="AD137" s="123">
        <f>SUMIF($E$4:$E$132,"111",$AD$4:$AD$132)</f>
        <v>0</v>
      </c>
      <c r="AE137" s="123">
        <f>SUMIF($E$4:$E$132,"111",$AE$4:$AE$132)</f>
        <v>2344813287</v>
      </c>
      <c r="AF137" s="123">
        <f>SUMIF($E$4:$E$132,"111",$AF$4:$AF$132)</f>
        <v>147809410</v>
      </c>
      <c r="AG137" s="123">
        <f>SUMIF($E$4:$E$132,"111",$AG$4:$AG$132)</f>
        <v>0</v>
      </c>
      <c r="AH137" s="123">
        <f>SUMIF($E$4:$E$132,"111",$AH$4:$AH$132)</f>
        <v>0</v>
      </c>
      <c r="AI137" s="123">
        <f>SUMIF($E$4:$E$132,"111",$AI$4:$AI$132)</f>
        <v>0</v>
      </c>
      <c r="AJ137" s="123">
        <f>SUMIF($E$4:$E$132,"111",$AJ$4:$AJ$132)</f>
        <v>0</v>
      </c>
      <c r="AK137" s="123">
        <f>SUMIF($E$4:$E$132,"111",$AK$4:$AK$132)</f>
        <v>0</v>
      </c>
      <c r="AL137" s="123">
        <f>SUMIF($E$4:$E$132,"111",$AL$4:$AL$132)</f>
        <v>300000</v>
      </c>
      <c r="AM137" s="123">
        <f>SUMIF($E$4:$E$132,"111",$AM$4:$AM$132)</f>
        <v>79856575</v>
      </c>
      <c r="AN137" s="123">
        <f>SUMIF($E$4:$E$132,"111",$AN$4:$AN$132)</f>
        <v>0</v>
      </c>
      <c r="AO137" s="123">
        <f>SUMIF($E$4:$E$132,"111",$AO$4:$AO$132)</f>
        <v>0</v>
      </c>
      <c r="AP137" s="123">
        <f>SUMIF($E$4:$E$132,"111",$AP$4:$AP$132)</f>
        <v>0</v>
      </c>
      <c r="AQ137" s="123">
        <f>SUMIF($E$4:$E$132,"111",$AQ$4:$AQ$132)</f>
        <v>0</v>
      </c>
      <c r="AR137" s="123">
        <f>SUMIF($E$4:$E$132,"111",$AQ$4:$AQ$132)</f>
        <v>0</v>
      </c>
      <c r="AS137" s="123">
        <f>SUMIF($E$4:$E$132,"111",$AS$4:$AS$132)</f>
        <v>0</v>
      </c>
      <c r="AT137" s="123">
        <f>SUMIF($E$4:$E$132,"111",$AT$4:$AT$132)</f>
        <v>0</v>
      </c>
      <c r="AU137" s="123">
        <f>SUMIF($E$4:$E$132,"111",$AU$4:$AU$132)</f>
        <v>0</v>
      </c>
      <c r="AV137" s="123">
        <f>SUMIF($E$4:$E$132,"111",$AV$4:$AV$132)</f>
        <v>25556877</v>
      </c>
      <c r="AW137" s="108">
        <f t="shared" ref="AW137:AW146" si="179">1-AA137</f>
        <v>0.47539494505532531</v>
      </c>
      <c r="AX137" s="28">
        <f t="shared" ref="AX137:AX143" si="180">SUM(AY137:BQ137)</f>
        <v>2354601541</v>
      </c>
      <c r="AY137" s="126">
        <f>SUMIF($E$4:$E$132,"111",$AY$4:$AY$132)</f>
        <v>0</v>
      </c>
      <c r="AZ137" s="126">
        <f>SUMIF($E$4:$E$132,"111",$AZ$4:$AZ$132)</f>
        <v>1785833784</v>
      </c>
      <c r="BA137" s="126">
        <f>SUMIF($E$4:$E$132,"111",$BA$4:$BA$132)</f>
        <v>23193917</v>
      </c>
      <c r="BB137" s="126">
        <f>SUMIF($E$4:$E$132,"111",$BB$4:$BB$132)</f>
        <v>0</v>
      </c>
      <c r="BC137" s="126">
        <f>SUMIF($E$4:$E$132,"111",$BC$4:$BC$132)</f>
        <v>0</v>
      </c>
      <c r="BD137" s="126">
        <f>SUMIF($E$4:$E$132,"111",$BD$4:$BD$132)</f>
        <v>54387</v>
      </c>
      <c r="BE137" s="126">
        <f>SUMIF($E$4:$E$133,"111",$BE$4:$BE$133)</f>
        <v>30665828</v>
      </c>
      <c r="BF137" s="126">
        <f>SUMIF($E$4:$E$132,"111",$BF$4:$BF$132)</f>
        <v>1940856</v>
      </c>
      <c r="BG137" s="126">
        <f>SUMIF($E$4:$E$132,"111",$BG$4:$BG$132)</f>
        <v>3138802</v>
      </c>
      <c r="BH137" s="126">
        <f>SUMIF($E$4:$E$132,"111",$BH$4:$BH$132)</f>
        <v>170652494</v>
      </c>
      <c r="BI137" s="126">
        <f>SUMIF($E$4:$E$132,"111",$BI$4:$BI$132)</f>
        <v>0</v>
      </c>
      <c r="BJ137" s="126">
        <f>SUMIF($E$4:$E$132,"111",$BJ$4:$BJ$132)</f>
        <v>0</v>
      </c>
      <c r="BK137" s="126">
        <f>SUMIF($E$4:$E$132,"111",$BK$4:$BK$132)</f>
        <v>0</v>
      </c>
      <c r="BL137" s="126">
        <f>SUMIF($E$4:$E$132,"111",$BL$4:$BL$132)</f>
        <v>0</v>
      </c>
      <c r="BM137" s="126">
        <f>SUMIF($E$4:$E$132,"111",$BM$4:$BM$132)</f>
        <v>0</v>
      </c>
      <c r="BN137" s="126"/>
      <c r="BO137" s="126">
        <f>SUMIF($E$4:$E$132,"111",$BO$4:$BO$132)</f>
        <v>0</v>
      </c>
      <c r="BP137" s="126">
        <f>SUMIF($E$4:$E$132,"111",$BP$4:$BP$132)</f>
        <v>0</v>
      </c>
      <c r="BQ137" s="127">
        <f>SUMIF($E$4:$E$132,"111",$BQ$4:$BQ$132)</f>
        <v>339121473</v>
      </c>
      <c r="BR137" s="128">
        <f t="shared" ref="BR137:BR146" si="181">+BS137/G137</f>
        <v>0.51032410868064038</v>
      </c>
      <c r="BS137" s="33">
        <f t="shared" ref="BS137:BS142" si="182">SUM(BU137:CM137)</f>
        <v>2527603512</v>
      </c>
      <c r="BT137" s="123">
        <f>SUMIF($E$4:$E$132,"111",$BT$4:$BT$132)</f>
        <v>0</v>
      </c>
      <c r="BU137" s="123">
        <f>SUMIF($E$4:$E$132,"111",$BU$4:$BU$132)</f>
        <v>0</v>
      </c>
      <c r="BV137" s="123">
        <f>SUMIF($E$4:$E$132,"111",$BV$4:$BV$132)</f>
        <v>2284964768</v>
      </c>
      <c r="BW137" s="123">
        <f>SUMIF($E$4:$E$132,"111",$BW$4:$BW$132)</f>
        <v>147809402</v>
      </c>
      <c r="BX137" s="123">
        <f>SUMIF($E$4:$E$132,"111",$BX$4:$BX$132)</f>
        <v>0</v>
      </c>
      <c r="BY137" s="123">
        <f>SUMIF($E$4:$E$132,"111",$BY$4:$BY$132)</f>
        <v>0</v>
      </c>
      <c r="BZ137" s="123">
        <f>SUMIF($E$4:$E$132,"111",$BZ$4:$BZ$132)</f>
        <v>0</v>
      </c>
      <c r="CA137" s="123">
        <f>SUMIF($E$4:$E$132,"111",$CA$4:$CA$132)</f>
        <v>0</v>
      </c>
      <c r="CB137" s="123">
        <f>SUMIF($E$4:$E$132,"111",$CB$4:$CB$132)</f>
        <v>0</v>
      </c>
      <c r="CC137" s="123">
        <f>SUMIF($E$4:$E$132,"111",$CC$4:$CC$132)</f>
        <v>300000</v>
      </c>
      <c r="CD137" s="123">
        <f>SUMIF($E$4:$E$132,"111",$CD$4:$CD$132)</f>
        <v>79856575</v>
      </c>
      <c r="CE137" s="123">
        <f>SUMIF($E$4:$E$132,"111",$CE$4:$CE$132)</f>
        <v>0</v>
      </c>
      <c r="CF137" s="123">
        <f>SUMIF($E$4:$E$132,"111",$CF$4:$CF$132)</f>
        <v>0</v>
      </c>
      <c r="CG137" s="123">
        <f>SUMIF($E$4:$E$132,"111",$CG$4:$CG$132)</f>
        <v>0</v>
      </c>
      <c r="CH137" s="123">
        <f>SUMIF($E$4:$E$132,"111",$CH$4:$CH$132)</f>
        <v>0</v>
      </c>
      <c r="CI137" s="123">
        <f>SUMIF($E$4:$E$132,"111",$CI$4:$CI$132)</f>
        <v>0</v>
      </c>
      <c r="CJ137" s="123">
        <f>SUMIF($E$4:$E$132,"111",$CJ$4:$CJ$132)</f>
        <v>0</v>
      </c>
      <c r="CK137" s="123">
        <f>SUMIF($E$4:$E$132,"111",$CK$4:$CK$132)</f>
        <v>0</v>
      </c>
      <c r="CL137" s="123">
        <f>SUMIF($E$4:$E$132,"111",$CL$4:$CL$132)</f>
        <v>0</v>
      </c>
      <c r="CM137" s="129">
        <f>SUMIF($E$4:$E$132,"111",$CM$4:$CM$132)</f>
        <v>14672767</v>
      </c>
      <c r="CN137" s="25">
        <f t="shared" ref="CN137:CN146" si="183">1-BR137</f>
        <v>0.48967589131935962</v>
      </c>
      <c r="CO137" s="28">
        <f t="shared" ref="CO137:CO143" si="184">SUM(CP137:DH137)</f>
        <v>2425334178</v>
      </c>
      <c r="CP137" s="126">
        <f>SUMIF($E$4:$E$132,"111",$CP$4:$CP$132)</f>
        <v>0</v>
      </c>
      <c r="CQ137" s="126">
        <f>SUMIF($E$4:$E$132,"111",$CQ$4:$CQ$132)</f>
        <v>1845682303</v>
      </c>
      <c r="CR137" s="126">
        <f>SUMIF($E$4:$E$132,"111",$CR$4:$CR$132)</f>
        <v>23193925</v>
      </c>
      <c r="CS137" s="126">
        <f>SUMIF($E$4:$E$132,"111",$CS$4:$CS$132)</f>
        <v>0</v>
      </c>
      <c r="CT137" s="126">
        <f>SUMIF($E$4:$E$132,"111",$CT$4:$CT$132)</f>
        <v>0</v>
      </c>
      <c r="CU137" s="126">
        <f>SUMIF($E$4:$E$132,"111",$CU$4:$CU$132)</f>
        <v>54387</v>
      </c>
      <c r="CV137" s="130">
        <f>SUMIF($E$4:$E$132,"111",$CV$4:$CV$132)</f>
        <v>30665828</v>
      </c>
      <c r="CW137" s="130">
        <f>SUMIF($E$4:$E$132,"111",$CW$4:$CW$132)</f>
        <v>1940856</v>
      </c>
      <c r="CX137" s="130">
        <f>SUMIF($E$4:$E$132,"111",$CX$4:$CX$132)</f>
        <v>3138802</v>
      </c>
      <c r="CY137" s="130">
        <f>SUMIF($E$4:$E$132,"111",$CY$4:$CY$132)</f>
        <v>170652494</v>
      </c>
      <c r="CZ137" s="130">
        <f>SUMIF($E$4:$E$132,"111",$CZ$4:$CZ$132)</f>
        <v>0</v>
      </c>
      <c r="DA137" s="130">
        <f>SUMIF($E$4:$E$132,"111",$DA$4:$DA$132)</f>
        <v>0</v>
      </c>
      <c r="DB137" s="130">
        <f>SUMIF($E$4:$E$132,"111",$DB$4:$DB$132)</f>
        <v>0</v>
      </c>
      <c r="DC137" s="130">
        <f>SUMIF($E$4:$E$132,"111",$DC$4:$DC$132)</f>
        <v>0</v>
      </c>
      <c r="DD137" s="130">
        <f>SUMIF($E$4:$E$132,"111",$DD$4:$DD$132)</f>
        <v>0</v>
      </c>
      <c r="DE137" s="130">
        <f>SUMIF($E$4:$E$132,"111",$DE$4:$DE$132)</f>
        <v>0</v>
      </c>
      <c r="DF137" s="130">
        <f>SUMIF($E$4:$E$132,"111",$DF$4:$DF$132)</f>
        <v>0</v>
      </c>
      <c r="DG137" s="130">
        <f>SUMIF($E$4:$E$132,"111",$DG$4:$DG$132)</f>
        <v>0</v>
      </c>
      <c r="DH137" s="130">
        <f>SUMIF($E$4:$E$132,"111",$DH$4:$DH$132)</f>
        <v>350005583</v>
      </c>
      <c r="DJ137" s="29">
        <f t="shared" si="110"/>
        <v>4952937690</v>
      </c>
      <c r="DK137" s="29">
        <f t="shared" ref="DK137:DK146" si="185">+AB137+AX137</f>
        <v>4952937690</v>
      </c>
      <c r="DL137" s="29">
        <f t="shared" ref="DL137:DL146" si="186">+BS137+CO137</f>
        <v>4952937690</v>
      </c>
    </row>
    <row r="138" spans="1:116" ht="18" customHeight="1" x14ac:dyDescent="0.25">
      <c r="C138" s="131"/>
      <c r="D138" s="121" t="s">
        <v>374</v>
      </c>
      <c r="E138" s="114">
        <v>211</v>
      </c>
      <c r="F138" s="122"/>
      <c r="G138" s="123">
        <f>SUMIF($E$4:$E$132,"211",$G$4:$G$132)</f>
        <v>3987310612</v>
      </c>
      <c r="H138" s="124">
        <f>SUMIF($E$4:$E$133,"211",$H$4:$H$133)</f>
        <v>0</v>
      </c>
      <c r="I138" s="124">
        <f>SUMIF($E$4:$E$133,"211",$I$4:$I$133)</f>
        <v>3227181237</v>
      </c>
      <c r="J138" s="123">
        <f>SUMIF($E$4:$E$132,"211",$J$4:$J$132)</f>
        <v>0</v>
      </c>
      <c r="K138" s="122">
        <f>SUMIF($E$4:$E$132,"211",$K$4:$K$132)</f>
        <v>0</v>
      </c>
      <c r="L138" s="122">
        <f>SUMIF($E$4:$E$132,"211",$L$4:$L$132)</f>
        <v>0</v>
      </c>
      <c r="M138" s="122">
        <f>SUMIF($E$4:$E$132,"211",$M$4:$M$132)</f>
        <v>0</v>
      </c>
      <c r="N138" s="122">
        <f>SUMIF($E$4:$E$132,"211",$N$4:$N$132)</f>
        <v>0</v>
      </c>
      <c r="O138" s="122">
        <f>SUMIF($E$4:$E$132,"211",$O$4:$O$132)</f>
        <v>0</v>
      </c>
      <c r="P138" s="122">
        <f>SUMIF($E$4:$E$132,"211",$P$4:$P$132)</f>
        <v>0</v>
      </c>
      <c r="Q138" s="122">
        <f>SUMIF($E$4:$E$132,"211",$Q$4:$Q$132)</f>
        <v>95432388</v>
      </c>
      <c r="R138" s="122">
        <f>SUMIF($E$4:$E$132,"211",$R$4:$R$132)</f>
        <v>0</v>
      </c>
      <c r="S138" s="122">
        <f>SUMIF($E$4:$E$132,"211",$S$4:$S$132)</f>
        <v>380000000</v>
      </c>
      <c r="T138" s="122">
        <f>SUMIF($E$4:$E$132,"211",$T$4:$T$132)</f>
        <v>0</v>
      </c>
      <c r="U138" s="122">
        <f>SUMIF($E$4:$E$132,"211",$U$4:$U$132)</f>
        <v>0</v>
      </c>
      <c r="V138" s="122">
        <f>SUMIF($E$4:$E$132,"211",$V$4:$V$132)</f>
        <v>0</v>
      </c>
      <c r="W138" s="122"/>
      <c r="X138" s="122">
        <f>SUMIF($E$4:$E$132,"211",$X$4:$X$132)</f>
        <v>0</v>
      </c>
      <c r="Y138" s="122">
        <f>SUMIF($E$4:$E$132,"211",$Y$4:$Y$132)</f>
        <v>0</v>
      </c>
      <c r="Z138" s="122">
        <f>SUMIF($E$4:$E$132,"211",$Z$4:$Z$132)</f>
        <v>284696987</v>
      </c>
      <c r="AA138" s="125">
        <f t="shared" si="177"/>
        <v>0.68747288153331354</v>
      </c>
      <c r="AB138" s="28">
        <f t="shared" si="178"/>
        <v>2741167916</v>
      </c>
      <c r="AC138" s="123">
        <f>SUMIF($E$4:$E$132,"211",$AC$4:$AC$132)</f>
        <v>0</v>
      </c>
      <c r="AD138" s="123">
        <f>SUMIF($E$4:$E$132,"211",$AD$4:$AD$132)</f>
        <v>0</v>
      </c>
      <c r="AE138" s="123">
        <f>SUMIF($E$4:$E$132,"211",$AE$4:$AE$132)</f>
        <v>2257319958</v>
      </c>
      <c r="AF138" s="123">
        <f>SUMIF($E$4:$E$132,"211",$AF$4:$AF$132)</f>
        <v>0</v>
      </c>
      <c r="AG138" s="123">
        <f>SUMIF($E$4:$E$132,"211",$AG$4:$AG$132)</f>
        <v>0</v>
      </c>
      <c r="AH138" s="123">
        <f>SUMIF($E$4:$E$132,"211",$AH$4:$AH$132)</f>
        <v>0</v>
      </c>
      <c r="AI138" s="123">
        <f>SUMIF($E$4:$E$132,"211",$AI$4:$AI$132)</f>
        <v>0</v>
      </c>
      <c r="AJ138" s="123">
        <f>SUMIF($E$4:$E$132,"211",$AJ$4:$AJ$132)</f>
        <v>0</v>
      </c>
      <c r="AK138" s="123">
        <f>SUMIF($E$4:$E$132,"211",$AK$4:$AK$132)</f>
        <v>0</v>
      </c>
      <c r="AL138" s="123">
        <f>SUMIF($E$4:$E$132,"211",$AL$4:$AL$132)</f>
        <v>0</v>
      </c>
      <c r="AM138" s="123">
        <f>SUMIF($E$4:$E$132,"211",$AM$4:$AM$132)</f>
        <v>85000000</v>
      </c>
      <c r="AN138" s="123">
        <f>SUMIF($E$4:$E$132,"211",$AN$4:$AN$132)</f>
        <v>0</v>
      </c>
      <c r="AO138" s="123">
        <f>SUMIF($E$4:$E$132,"211",$AO$4:$AO$132)</f>
        <v>250000000</v>
      </c>
      <c r="AP138" s="123">
        <f>SUMIF($E$4:$E$132,"211",$AP$4:$AP$132)</f>
        <v>0</v>
      </c>
      <c r="AQ138" s="123">
        <f>SUMIF($E$4:$E$132,"211",$AQ$4:$AQ$132)</f>
        <v>0</v>
      </c>
      <c r="AR138" s="123">
        <f>SUMIF($E$4:$E$132,"211",$AR$4:$AR$132)</f>
        <v>0</v>
      </c>
      <c r="AS138" s="123">
        <f>SUMIF($E$4:$E$132,"211",$AS$4:$AS$132)</f>
        <v>0</v>
      </c>
      <c r="AT138" s="123">
        <f>SUMIF($E$4:$E$132,"211",$AT$4:$AT$132)</f>
        <v>0</v>
      </c>
      <c r="AU138" s="123">
        <f>SUMIF($E$4:$E$132,"211",$AU$4:$AU$132)</f>
        <v>0</v>
      </c>
      <c r="AV138" s="123">
        <f>SUMIF($E$4:$E$132,"211",$AV$4:$AV$132)</f>
        <v>148847958</v>
      </c>
      <c r="AW138" s="108">
        <f t="shared" si="179"/>
        <v>0.31252711846668646</v>
      </c>
      <c r="AX138" s="28">
        <f t="shared" si="180"/>
        <v>1246142696</v>
      </c>
      <c r="AY138" s="126">
        <f>SUMIF($E$4:$E$132,"211",$AY$4:$AY$132)</f>
        <v>0</v>
      </c>
      <c r="AZ138" s="126">
        <f>SUMIF($E$4:$E$132,"211",$AZ$4:$AZ$132)</f>
        <v>969861279</v>
      </c>
      <c r="BA138" s="126">
        <f>SUMIF($E$4:$E$132,"211",$BA$4:$BA$132)</f>
        <v>0</v>
      </c>
      <c r="BB138" s="126">
        <f>SUMIF($E$4:$E$132,"211",$BB$4:$BB$132)</f>
        <v>0</v>
      </c>
      <c r="BC138" s="126">
        <f>SUMIF($E$4:$E$132,"211",$BC$4:$BC$132)</f>
        <v>0</v>
      </c>
      <c r="BD138" s="126">
        <f>SUMIF($E$4:$E$132,"211",$BD$4:$BD$132)</f>
        <v>0</v>
      </c>
      <c r="BE138" s="126">
        <f>SUMIF($E$4:$E$132,"211",$BE$4:$BE$132)</f>
        <v>0</v>
      </c>
      <c r="BF138" s="126">
        <f>SUMIF($E$4:$E$132,"211",$BF$4:$BF$132)</f>
        <v>0</v>
      </c>
      <c r="BG138" s="126">
        <f>SUMIF($E$4:$E$132,"211",$BG$4:$BG$132)</f>
        <v>0</v>
      </c>
      <c r="BH138" s="126">
        <f>SUMIF($E$4:$E$132,"211",$BH$4:$BH$132)</f>
        <v>10432388</v>
      </c>
      <c r="BI138" s="126">
        <f>SUMIF($E$4:$E$132,"211",$BI$4:$BI$132)</f>
        <v>0</v>
      </c>
      <c r="BJ138" s="126">
        <f>SUMIF($E$4:$E$132,"211",$BJ$4:$BJ$132)</f>
        <v>130000000</v>
      </c>
      <c r="BK138" s="126">
        <f>SUMIF($E$4:$E$132,"211",$BK$4:$BK$132)</f>
        <v>0</v>
      </c>
      <c r="BL138" s="126">
        <f>SUMIF($E$4:$E$132,"211",$BL$4:$BL$132)</f>
        <v>0</v>
      </c>
      <c r="BM138" s="126">
        <f>SUMIF($E$4:$E$132,"211",$BM$4:$BM$132)</f>
        <v>0</v>
      </c>
      <c r="BN138" s="126"/>
      <c r="BO138" s="126">
        <f>SUMIF($E$4:$E$132,"211",$BO$4:$BO$132)</f>
        <v>0</v>
      </c>
      <c r="BP138" s="126">
        <f>SUMIF($E$4:$E$132,"211",$BP$4:$BP$132)</f>
        <v>0</v>
      </c>
      <c r="BQ138" s="127">
        <f>SUMIF($E$4:$E$132,"211",$BQ$4:$BQ$132)</f>
        <v>135849029</v>
      </c>
      <c r="BR138" s="128">
        <f t="shared" si="181"/>
        <v>0.49318132905969853</v>
      </c>
      <c r="BS138" s="33">
        <f t="shared" si="182"/>
        <v>1966467147</v>
      </c>
      <c r="BT138" s="123">
        <f>SUMIF($E$4:$E$132,"211",$BT$4:$BT$132)</f>
        <v>0</v>
      </c>
      <c r="BU138" s="123">
        <f>SUMIF($E$4:$E$132,"211",$BU$4:$BU$132)</f>
        <v>0</v>
      </c>
      <c r="BV138" s="123">
        <f>SUMIF($E$4:$E$132,"211",$BV$4:$BV$132)</f>
        <v>1533253042</v>
      </c>
      <c r="BW138" s="123">
        <f>SUMIF($E$4:$E$132,"211",$BW$4:$BW$132)</f>
        <v>0</v>
      </c>
      <c r="BX138" s="123">
        <f>SUMIF($E$4:$E$132,"211",$BX$4:$BX$132)</f>
        <v>0</v>
      </c>
      <c r="BY138" s="123">
        <f>SUMIF($E$4:$E$132,"211",$BY$4:$BY$132)</f>
        <v>0</v>
      </c>
      <c r="BZ138" s="123">
        <f>SUMIF($E$4:$E$132,"211",$BZ$4:$BZ$132)</f>
        <v>0</v>
      </c>
      <c r="CA138" s="123">
        <f>SUMIF($E$4:$E$132,"211",$CA$4:$CA$132)</f>
        <v>0</v>
      </c>
      <c r="CB138" s="123">
        <f>SUMIF($E$4:$E$132,"211",$CB$4:$CB$132)</f>
        <v>0</v>
      </c>
      <c r="CC138" s="123">
        <f>SUMIF($E$4:$E$132,"211",$CC$4:$CC$132)</f>
        <v>0</v>
      </c>
      <c r="CD138" s="123">
        <f>SUMIF($E$4:$E$132,"211",$CD$4:$CD$132)</f>
        <v>50256150</v>
      </c>
      <c r="CE138" s="123">
        <f>SUMIF($E$4:$E$132,"211",$CE$4:$CE$132)</f>
        <v>0</v>
      </c>
      <c r="CF138" s="123">
        <f>SUMIF($E$4:$E$132,"211",$CF$4:$CF$132)</f>
        <v>249680327</v>
      </c>
      <c r="CG138" s="123">
        <f>SUMIF($E$4:$E$132,"211",$CG$4:$CG$132)</f>
        <v>0</v>
      </c>
      <c r="CH138" s="123">
        <f>SUMIF($E$4:$E$132,"211",$CH$4:$CH$132)</f>
        <v>0</v>
      </c>
      <c r="CI138" s="123">
        <f>SUMIF($E$4:$E$132,"211",$CI$4:$CI$132)</f>
        <v>0</v>
      </c>
      <c r="CJ138" s="123">
        <f>SUMIF($E$4:$E$132,"211",$CJ$4:$CJ$132)</f>
        <v>0</v>
      </c>
      <c r="CK138" s="123">
        <f>SUMIF($E$4:$E$132,"211",$CK$4:$CK$132)</f>
        <v>0</v>
      </c>
      <c r="CL138" s="123">
        <f>SUMIF($E$4:$E$132,"211",$CL$4:$CL$132)</f>
        <v>0</v>
      </c>
      <c r="CM138" s="129">
        <f>SUMIF($E$4:$E$132,"211",$CM$4:$CM$132)</f>
        <v>133277628</v>
      </c>
      <c r="CN138" s="25">
        <f t="shared" si="183"/>
        <v>0.50681867094030153</v>
      </c>
      <c r="CO138" s="28">
        <f t="shared" ca="1" si="184"/>
        <v>2020843465</v>
      </c>
      <c r="CP138" s="126">
        <f ca="1">SUMIF($E$4:$E$133,"211",$CP$4:$CP$132)</f>
        <v>0</v>
      </c>
      <c r="CQ138" s="126">
        <f>SUMIF($E$4:$E$132,"211",$CQ$4:$CQ$132)</f>
        <v>1693928195</v>
      </c>
      <c r="CR138" s="126">
        <f>SUMIF($E$4:$E$132,"211",$CR$4:$CR$132)</f>
        <v>0</v>
      </c>
      <c r="CS138" s="126">
        <f>SUMIF($E$4:$E$132,"211",$CS$4:$CS$132)</f>
        <v>0</v>
      </c>
      <c r="CT138" s="126">
        <f>SUMIF($E$4:$E$132,"211",$CT$4:$CT$132)</f>
        <v>0</v>
      </c>
      <c r="CU138" s="126">
        <f>SUMIF($E$4:$E$132,"211",$CU$4:$CU$132)</f>
        <v>0</v>
      </c>
      <c r="CV138" s="130">
        <f>SUMIF($E$4:$E$132,"211",$CV$4:$CV$132)</f>
        <v>0</v>
      </c>
      <c r="CW138" s="130">
        <f>SUMIF($E$4:$E$132,"211",$CW$4:$CW$132)</f>
        <v>0</v>
      </c>
      <c r="CX138" s="130">
        <f>SUMIF($E$4:$E$132,"211",$CX$4:$CX$132)</f>
        <v>0</v>
      </c>
      <c r="CY138" s="130">
        <f>SUMIF($E$4:$E$132,"211",$CY$4:$CY$132)</f>
        <v>45176238</v>
      </c>
      <c r="CZ138" s="130">
        <f>SUMIF($E$4:$E$132,"211",$CZ$4:$CZ$132)</f>
        <v>0</v>
      </c>
      <c r="DA138" s="130">
        <f>SUMIF($E$4:$E$132,"211",$DA$4:$DA$132)</f>
        <v>130319673</v>
      </c>
      <c r="DB138" s="130">
        <f>SUMIF($E$4:$E$132,"211",$DB$4:$DB$132)</f>
        <v>0</v>
      </c>
      <c r="DC138" s="130">
        <f>SUMIF($E$4:$E$132,"211",$DC$4:$DC$132)</f>
        <v>0</v>
      </c>
      <c r="DD138" s="130">
        <f>SUMIF($E$4:$E$132,"211",$DD$4:$DD$132)</f>
        <v>0</v>
      </c>
      <c r="DE138" s="130">
        <f>SUMIF($E$4:$E$132,"211",$DE$4:$DE$132)</f>
        <v>0</v>
      </c>
      <c r="DF138" s="130">
        <f>SUMIF($E$4:$E$132,"211",$DF$4:$DF$132)</f>
        <v>0</v>
      </c>
      <c r="DG138" s="130">
        <f>SUMIF($E$4:$E$132,"211",$DG$4:$DG$132)</f>
        <v>0</v>
      </c>
      <c r="DH138" s="130">
        <f>SUMIF($E$4:$E$132,"211",$DH$4:$DH$132)</f>
        <v>151419359</v>
      </c>
      <c r="DJ138" s="29">
        <f t="shared" si="110"/>
        <v>3987310612</v>
      </c>
      <c r="DK138" s="29">
        <f t="shared" si="185"/>
        <v>3987310612</v>
      </c>
      <c r="DL138" s="29">
        <f t="shared" ca="1" si="186"/>
        <v>3987310612</v>
      </c>
    </row>
    <row r="139" spans="1:116" ht="16.5" customHeight="1" x14ac:dyDescent="0.25">
      <c r="C139" s="131"/>
      <c r="D139" s="121" t="s">
        <v>375</v>
      </c>
      <c r="E139" s="114">
        <v>310</v>
      </c>
      <c r="F139" s="122"/>
      <c r="G139" s="123">
        <f>SUMIF($E$4:$E$132,"310",$G$4:$G$133)</f>
        <v>1110346880</v>
      </c>
      <c r="H139" s="124">
        <f>SUMIF($E$4:$E$132,"310",$H$4:$H$132)</f>
        <v>0</v>
      </c>
      <c r="I139" s="124">
        <f>SUMIF($E$4:$E$132,"310",$I$4:$I$132)</f>
        <v>450000000</v>
      </c>
      <c r="J139" s="123">
        <f>SUMIF($E$4:$E$132,"310",$J$4:$J$132)</f>
        <v>0</v>
      </c>
      <c r="K139" s="122">
        <f>SUMIF($E$4:$E$132,"310",$K$4:$K$132)</f>
        <v>578368096</v>
      </c>
      <c r="L139" s="122">
        <f>SUMIF($E$4:$E$132,"310",$L$4:$L$132)</f>
        <v>0</v>
      </c>
      <c r="M139" s="122">
        <f>SUMIF($E$4:$E$132,"310",$M$4:$M$132)</f>
        <v>0</v>
      </c>
      <c r="N139" s="122">
        <f>SUMIF($E$4:$E$132,"310",$N$4:$N$132)</f>
        <v>0</v>
      </c>
      <c r="O139" s="122">
        <f>SUMIF($E$4:$E$132,"310",$O$4:$O$132)</f>
        <v>0</v>
      </c>
      <c r="P139" s="122">
        <f>SUMIF($E$4:$E$132,"310",$P$4:$P$132)</f>
        <v>0</v>
      </c>
      <c r="Q139" s="122">
        <f>SUMIF($E$4:$E$132,"310",$Q$4:$Q$132)</f>
        <v>0</v>
      </c>
      <c r="R139" s="122">
        <f>SUMIF($E$4:$E$132,"310",$R$4:$R$132)</f>
        <v>4978784</v>
      </c>
      <c r="S139" s="122">
        <f>SUMIF($E$4:$E$132,"310",$S$4:$S$132)</f>
        <v>0</v>
      </c>
      <c r="T139" s="122">
        <f>SUMIF($E$4:$E$132,"310",$T$4:$T$132)</f>
        <v>0</v>
      </c>
      <c r="U139" s="122">
        <f>SUMIF($E$4:$E$132,"310",$U$4:$U$132)</f>
        <v>0</v>
      </c>
      <c r="V139" s="122">
        <f>SUMIF($E$4:$E$124,"310",$V$4:$V$124)</f>
        <v>0</v>
      </c>
      <c r="W139" s="122"/>
      <c r="X139" s="122">
        <f>SUMIF($E$4:$E$132,"310",$X$4:$X$132)</f>
        <v>0</v>
      </c>
      <c r="Y139" s="122">
        <f>SUMIF($E$4:$E$132,"310",$Y$4:$Y$132)</f>
        <v>0</v>
      </c>
      <c r="Z139" s="122">
        <f>SUMIF($E$4:$E$132,"310",$Z$4:$Z$132)</f>
        <v>77000000</v>
      </c>
      <c r="AA139" s="125">
        <f t="shared" si="177"/>
        <v>0.584856865631036</v>
      </c>
      <c r="AB139" s="33">
        <f t="shared" si="178"/>
        <v>649393996</v>
      </c>
      <c r="AC139" s="123">
        <f>SUMIF($E$4:$E$132,"310",$AC$4:$AC$132)</f>
        <v>0</v>
      </c>
      <c r="AD139" s="123">
        <f>SUMIF($E$4:$E$132,"310",$AD$4:$AD$132)</f>
        <v>0</v>
      </c>
      <c r="AE139" s="123">
        <f>SUMIF($E$4:$E$132,"310",$AE$4:$AE$132)</f>
        <v>152934046</v>
      </c>
      <c r="AF139" s="123">
        <f>SUMIF($E$4:$E$132,"310",$AF$4:$AF$132)</f>
        <v>0</v>
      </c>
      <c r="AG139" s="123">
        <f>SUMIF($E$4:$E$132,"310",$AG$4:$AG$132)</f>
        <v>458594602</v>
      </c>
      <c r="AH139" s="123">
        <f>SUMIF($E$4:$E$132,"310",$AH$4:$AH$132)</f>
        <v>0</v>
      </c>
      <c r="AI139" s="123">
        <f>SUMIF($E$4:$E$132,"310",$AI$4:$AI$132)</f>
        <v>0</v>
      </c>
      <c r="AJ139" s="123">
        <f>SUMIF($E$4:$E$132,"310",$AJ$4:$AJ$132)</f>
        <v>0</v>
      </c>
      <c r="AK139" s="123">
        <f>SUMIF($E$4:$E$132,"310",$AK$4:$AK$132)</f>
        <v>0</v>
      </c>
      <c r="AL139" s="123">
        <f>SUMIF($E$4:$E$132,"310",$AL$4:$AL$132)</f>
        <v>0</v>
      </c>
      <c r="AM139" s="123">
        <f>SUMIF($E$4:$E$132,"310",$AM$4:$AM$132)</f>
        <v>0</v>
      </c>
      <c r="AN139" s="123">
        <f>SUMIF($E$4:$E$132,"310",$AN$4:$AN$132)</f>
        <v>0</v>
      </c>
      <c r="AO139" s="123">
        <f>SUMIF($E$4:$E$132,"310",$AO$4:$AO$132)</f>
        <v>0</v>
      </c>
      <c r="AP139" s="123">
        <f>SUMIF($E$4:$E$132,"310",$AP$4:$AP$132)</f>
        <v>0</v>
      </c>
      <c r="AQ139" s="123">
        <f>SUMIF($E$4:$E$132,"310",$AQ$4:$AQ$132)</f>
        <v>0</v>
      </c>
      <c r="AR139" s="123">
        <f>SUMIF($E$4:$E$132,"310",$AR$4:$AR$132)</f>
        <v>0</v>
      </c>
      <c r="AS139" s="123">
        <f>SUMIF($E$4:$E$132,"310",$AS$4:$AS$132)</f>
        <v>0</v>
      </c>
      <c r="AT139" s="123">
        <f>SUMIF($E$4:$E$132,"310",$AT$4:$AT$132)</f>
        <v>0</v>
      </c>
      <c r="AU139" s="123">
        <f>SUMIF($E$4:$E$132,"310",$AU$4:$AU$132)</f>
        <v>0</v>
      </c>
      <c r="AV139" s="123">
        <f>SUMIF($E$4:$E$132,"310",$AV$4:$AV$132)</f>
        <v>37865348</v>
      </c>
      <c r="AW139" s="108">
        <f t="shared" si="179"/>
        <v>0.415143134368964</v>
      </c>
      <c r="AX139" s="28">
        <f t="shared" si="180"/>
        <v>460952884</v>
      </c>
      <c r="AY139" s="126">
        <f>SUMIF($E$4:$E$132,"310",$AY$4:$AY$132)</f>
        <v>0</v>
      </c>
      <c r="AZ139" s="126">
        <f>SUMIF($E$4:$E$132,"310",$AZ$4:$AZ$132)</f>
        <v>297065954</v>
      </c>
      <c r="BA139" s="126">
        <f>SUMIF($E$4:$E$132,"310",$BA$4:$BA$132)</f>
        <v>0</v>
      </c>
      <c r="BB139" s="126">
        <f>SUMIF($E$4:$E$132,"310",$BB$4:$BB$132)</f>
        <v>119773494</v>
      </c>
      <c r="BC139" s="126">
        <f>SUMIF($E$4:$E$132,"310",$BC$4:$BC$132)</f>
        <v>0</v>
      </c>
      <c r="BD139" s="126">
        <f>SUMIF($E$4:$E$132,"310",$BD$4:$BD$132)</f>
        <v>0</v>
      </c>
      <c r="BE139" s="126">
        <f>SUMIF($E$4:$E$132,"310",$BE$4:$BE$132)</f>
        <v>0</v>
      </c>
      <c r="BF139" s="126">
        <f>SUMIF($E$4:$E$132,"310",$BF$4:$BF$132)</f>
        <v>0</v>
      </c>
      <c r="BG139" s="126">
        <f>SUMIF($E$4:$E$132,"310",$BG$4:$BG$132)</f>
        <v>0</v>
      </c>
      <c r="BH139" s="126">
        <f>SUMIF($E$4:$E$132,"310",$BH$4:$BH$132)</f>
        <v>0</v>
      </c>
      <c r="BI139" s="126">
        <f>SUMIF($E$4:$E$132,"310",$BI$4:$BI$132)</f>
        <v>4978784</v>
      </c>
      <c r="BJ139" s="126">
        <f>SUMIF($E$4:$E$132,"310",$BJ$4:$BJ$132)</f>
        <v>0</v>
      </c>
      <c r="BK139" s="126">
        <f>SUMIF($E$4:$E$132,"310",$BK$4:$BK$132)</f>
        <v>0</v>
      </c>
      <c r="BL139" s="126">
        <f>SUMIF($E$4:$E$132,"310",$BL$4:$BL$132)</f>
        <v>0</v>
      </c>
      <c r="BM139" s="126">
        <f>SUMIF($E$4:$E$132,"310",$BM$4:$BM$132)</f>
        <v>0</v>
      </c>
      <c r="BN139" s="126">
        <f>SUMIF($E$4:$E$132,"310",$BM$4:$BM$132)</f>
        <v>0</v>
      </c>
      <c r="BO139" s="126">
        <f>SUMIF($E$4:$E$132,"310",$BO$4:$BO$132)</f>
        <v>0</v>
      </c>
      <c r="BP139" s="126">
        <f>SUMIF($E$4:$E$132,"310",$BP$4:$BP$132)</f>
        <v>0</v>
      </c>
      <c r="BQ139" s="127">
        <f>SUMIF($E$4:$E$132,"310",$BQ$4:$BQ$132)</f>
        <v>39134652</v>
      </c>
      <c r="BR139" s="128">
        <f t="shared" si="181"/>
        <v>0.42989801529410343</v>
      </c>
      <c r="BS139" s="33">
        <f t="shared" si="182"/>
        <v>477335920</v>
      </c>
      <c r="BT139" s="123">
        <f>SUMIF($E$4:$E$132,"310",$BT$4:$BT$132)</f>
        <v>0</v>
      </c>
      <c r="BU139" s="123">
        <f>SUMIF($E$4:$E$132,"310",$BU$4:$BU$132)</f>
        <v>0</v>
      </c>
      <c r="BV139" s="123">
        <f>SUMIF($E$4:$E$132,"310",$BV$4:$BV$132)</f>
        <v>124254160</v>
      </c>
      <c r="BW139" s="123">
        <f>SUMIF($E$4:$E$132,"310",$BW$4:$BW$132)</f>
        <v>0</v>
      </c>
      <c r="BX139" s="123">
        <f>SUMIF($E$4:$E$132,"310",$BX$4:$BX$132)</f>
        <v>315709576</v>
      </c>
      <c r="BY139" s="123">
        <f>SUMIF($E$4:$E$132,"310",$BY$4:$BY$132)</f>
        <v>0</v>
      </c>
      <c r="BZ139" s="123">
        <f>SUMIF($E$4:$E$132,"310",$BZ$4:$BZ$132)</f>
        <v>0</v>
      </c>
      <c r="CA139" s="123">
        <f>SUMIF($E$4:$E$132,"310",$CA$4:$CA$132)</f>
        <v>0</v>
      </c>
      <c r="CB139" s="123">
        <f>SUMIF($E$4:$E$132,"310",$CB$4:$CB$132)</f>
        <v>0</v>
      </c>
      <c r="CC139" s="123">
        <f>SUMIF($E$4:$E$132,"310",$CC$4:$CC$132)</f>
        <v>0</v>
      </c>
      <c r="CD139" s="123">
        <f>SUMIF($E$4:$E$132,"310",$CD$4:$CD$132)</f>
        <v>0</v>
      </c>
      <c r="CE139" s="123">
        <f>SUMIF($E$4:$E$132,"310",$CE$4:$CE$132)</f>
        <v>0</v>
      </c>
      <c r="CF139" s="123">
        <f>SUMIF($E$4:$E$132,"310",$CF$4:$CF$132)</f>
        <v>0</v>
      </c>
      <c r="CG139" s="123">
        <f>SUMIF($E$4:$E$132,"310",$CG$4:$CG$132)</f>
        <v>0</v>
      </c>
      <c r="CH139" s="123">
        <f>SUMIF($E$4:$E$132,"310",$CH$4:$CH$132)</f>
        <v>0</v>
      </c>
      <c r="CI139" s="123">
        <f>SUMIF($E$4:$E$132,"310",$CI$4:$CI$132)</f>
        <v>0</v>
      </c>
      <c r="CJ139" s="123">
        <f>SUMIF($E$4:$E$132,"310",$CJ$4:$CJ$132)</f>
        <v>0</v>
      </c>
      <c r="CK139" s="123">
        <f>SUMIF($E$4:$E$132,"310",$CK$4:$CK$132)</f>
        <v>0</v>
      </c>
      <c r="CL139" s="123">
        <f>SUMIF($E$4:$E$132,"310",$CL$4:$CL$132)</f>
        <v>0</v>
      </c>
      <c r="CM139" s="129">
        <f>SUMIF($E$4:$E$132,"310",$CM$4:$CM$132)</f>
        <v>37372184</v>
      </c>
      <c r="CN139" s="25">
        <f t="shared" si="183"/>
        <v>0.57010198470589657</v>
      </c>
      <c r="CO139" s="28">
        <f t="shared" si="184"/>
        <v>633010960</v>
      </c>
      <c r="CP139" s="126">
        <f>SUMIF($E$4:$E$132,"310",$CP$4:$CP$132)</f>
        <v>0</v>
      </c>
      <c r="CQ139" s="126">
        <f>SUMIF($E$4:$E$132,"310",$CQ$4:$CQ$132)</f>
        <v>325745840</v>
      </c>
      <c r="CR139" s="126">
        <f>SUMIF($E$4:$E$132,"310",$CR$4:$CR$132)</f>
        <v>0</v>
      </c>
      <c r="CS139" s="126">
        <f>SUMIF($E$4:$E$132,"310",$CS$4:$CS$132)</f>
        <v>262658520</v>
      </c>
      <c r="CT139" s="126">
        <f>SUMIF($E$4:$E$132,"310",$CT$4:$CT$132)</f>
        <v>0</v>
      </c>
      <c r="CU139" s="126">
        <f>SUMIF($E$4:$E$132,"310",$CU$4:$CU$132)</f>
        <v>0</v>
      </c>
      <c r="CV139" s="130">
        <f>SUMIF($E$4:$E$132,"310",$CV$4:$CV$132)</f>
        <v>0</v>
      </c>
      <c r="CW139" s="130">
        <f>SUMIF($E$4:$E$132,"310",$CW$4:$CW$132)</f>
        <v>0</v>
      </c>
      <c r="CX139" s="130">
        <f>SUMIF($E$4:$E$132,"310",$CX$4:$CX$132)</f>
        <v>0</v>
      </c>
      <c r="CY139" s="130">
        <f>SUMIF($E$4:$E$132,"310",$CY$4:$CY$132)</f>
        <v>0</v>
      </c>
      <c r="CZ139" s="130">
        <f>SUMIF($E$4:$E$132,"310",$CZ$4:$CZ$132)</f>
        <v>4978784</v>
      </c>
      <c r="DA139" s="130">
        <f>SUMIF($E$4:$E$132,"310",$DA$4:$DA$132)</f>
        <v>0</v>
      </c>
      <c r="DB139" s="130">
        <f>SUMIF($E$4:$E$132,"310",$DB$4:$DB$132)</f>
        <v>0</v>
      </c>
      <c r="DC139" s="130">
        <f>SUMIF($E$4:$E$132,"310",$DC$4:$DC$132)</f>
        <v>0</v>
      </c>
      <c r="DD139" s="130">
        <f>SUMIF($E$4:$E$132,"310",$DD$4:$DD$132)</f>
        <v>0</v>
      </c>
      <c r="DE139" s="130">
        <f>SUMIF($E$4:$E$132,"310",$DE$4:$DE$132)</f>
        <v>0</v>
      </c>
      <c r="DF139" s="130">
        <f>SUMIF($E$4:$E$132,"310",$DF$4:$DF$132)</f>
        <v>0</v>
      </c>
      <c r="DG139" s="130">
        <f>SUMIF($E$4:$E$132,"310",$DG$4:$DG$132)</f>
        <v>0</v>
      </c>
      <c r="DH139" s="130">
        <f>SUMIF($E$4:$E$132,"310",$DH$4:$DH$132)</f>
        <v>39627816</v>
      </c>
      <c r="DJ139" s="29">
        <f t="shared" si="110"/>
        <v>1110346880</v>
      </c>
      <c r="DK139" s="29">
        <f t="shared" si="185"/>
        <v>1110346880</v>
      </c>
      <c r="DL139" s="29">
        <f t="shared" si="186"/>
        <v>1110346880</v>
      </c>
    </row>
    <row r="140" spans="1:116" x14ac:dyDescent="0.25">
      <c r="C140" s="132"/>
      <c r="D140" s="121" t="s">
        <v>376</v>
      </c>
      <c r="E140" s="114">
        <v>410</v>
      </c>
      <c r="F140" s="122"/>
      <c r="G140" s="123">
        <f>SUMIF($E$4:$E$132,"410",$G$4:$G$132)</f>
        <v>5991897445</v>
      </c>
      <c r="H140" s="124">
        <f>SUMIF($E$4:$E$132,"410",$H$4:$H$132)</f>
        <v>0</v>
      </c>
      <c r="I140" s="124">
        <f>SUMIF($E$4:$E$133,"410",$I$4:$I$133)</f>
        <v>2263096695</v>
      </c>
      <c r="J140" s="123">
        <f>SUMIF($E$4:$E$132,"410",$J$4:$J$132)</f>
        <v>0</v>
      </c>
      <c r="K140" s="122">
        <f>SUMIF($E$4:$E$132,"410",$K$4:$K$132)</f>
        <v>0</v>
      </c>
      <c r="L140" s="122">
        <f>SUMIF($E$4:$E$132,"410",$L$4:$L$132)</f>
        <v>74368590</v>
      </c>
      <c r="M140" s="122">
        <f>SUMIF($E$4:$E$132,"410",$M$4:$M$132)</f>
        <v>0</v>
      </c>
      <c r="N140" s="122">
        <f>SUMIF($E$4:$E$132,"410",$N$4:$N$132)</f>
        <v>0</v>
      </c>
      <c r="O140" s="122">
        <f>SUMIF($E$4:$E$132,"410",$O$4:$O$132)</f>
        <v>0</v>
      </c>
      <c r="P140" s="122">
        <f>SUMIF($E$4:$E$132,"410",$P$4:$P$132)</f>
        <v>0</v>
      </c>
      <c r="Q140" s="122">
        <f>SUMIF($E$4:$E$132,"410",$Q$4:$Q$132)</f>
        <v>0</v>
      </c>
      <c r="R140" s="122">
        <f>SUMIF($E$4:$E$132,"410",$R$4:$R$132)</f>
        <v>1845604065</v>
      </c>
      <c r="S140" s="122">
        <f>SUMIF($E$4:$E$132,"410",$S$4:$S$132)</f>
        <v>387696735</v>
      </c>
      <c r="T140" s="122">
        <f>SUMIF($E$4:$E$132,"410",$T$4:$T$132)</f>
        <v>0</v>
      </c>
      <c r="U140" s="122">
        <f>SUMIF($E$4:$E$124,"410",$U$4:$U$124)</f>
        <v>1054833768</v>
      </c>
      <c r="V140" s="122">
        <f>SUMIF($E$4:$E$124,"410",$V$4:$V$124)</f>
        <v>0</v>
      </c>
      <c r="W140" s="122">
        <f>SUMIF($E$4:$E$132,"410",$W$4:$W$132)</f>
        <v>51295383</v>
      </c>
      <c r="X140" s="122">
        <f>SUMIF($E$4:$E$132,"410",$X$4:$X$132)</f>
        <v>0</v>
      </c>
      <c r="Y140" s="122">
        <f>SUMIF($E$4:$E$132,"410",$Y$4:$Y$132)</f>
        <v>204741836</v>
      </c>
      <c r="Z140" s="122">
        <f>SUMIF($E$4:$E$132,"410",$Z$4:$Z$132)</f>
        <v>110260373</v>
      </c>
      <c r="AA140" s="125">
        <f t="shared" si="177"/>
        <v>0.86657327159911024</v>
      </c>
      <c r="AB140" s="28">
        <f t="shared" si="178"/>
        <v>5192418172</v>
      </c>
      <c r="AC140" s="123">
        <f>SUMIF($E$4:$E$132,"410",$AC$4:$AC$132)</f>
        <v>0</v>
      </c>
      <c r="AD140" s="123">
        <f>SUMIF($E$4:$E$132,"410",$AD$4:$AD$132)</f>
        <v>0</v>
      </c>
      <c r="AE140" s="123">
        <f>SUMIF($E$4:$E$132,"410",$AE$4:$AE$132)</f>
        <v>1885268117</v>
      </c>
      <c r="AF140" s="123">
        <f>SUMIF($E$4:$E$132,"410",$AF$4:$AF$132)</f>
        <v>0</v>
      </c>
      <c r="AG140" s="123">
        <f>SUMIF($E$4:$E$132,"410",$AG$4:$AG$132)</f>
        <v>0</v>
      </c>
      <c r="AH140" s="123">
        <f>SUMIF($E$4:$E$132,"410",$AH$4:$AH$132)</f>
        <v>43061377</v>
      </c>
      <c r="AI140" s="123">
        <f>SUMIF($E$4:$E$132,"410",$AI$4:$AI$132)</f>
        <v>0</v>
      </c>
      <c r="AJ140" s="123">
        <f>SUMIF($E$4:$E$132,"410",$AJ$4:$AJ$132)</f>
        <v>0</v>
      </c>
      <c r="AK140" s="123">
        <f>SUMIF($E$4:$E$132,"410",$AK$4:$AK$132)</f>
        <v>0</v>
      </c>
      <c r="AL140" s="123">
        <f>SUMIF($E$4:$E$132,"410",$AL$4:$AL$132)</f>
        <v>0</v>
      </c>
      <c r="AM140" s="123">
        <f>SUMIF($E$4:$E$132,"410",$AM$4:$AM$132)</f>
        <v>0</v>
      </c>
      <c r="AN140" s="123">
        <f>SUMIF($E$4:$E$132,"410",$AN$4:$AN$132)</f>
        <v>1787879677</v>
      </c>
      <c r="AO140" s="123">
        <f>SUMIF($E$4:$E$132,"410",$AO$4:$AO$132)</f>
        <v>319704306</v>
      </c>
      <c r="AP140" s="123">
        <f>SUMIF($E$4:$E$132,"410",$AP$4:$AP$132)</f>
        <v>0</v>
      </c>
      <c r="AQ140" s="123">
        <f>SUMIF($E$4:$E$132,"410",$AQ$4:$AQ$132)</f>
        <v>910591170</v>
      </c>
      <c r="AR140" s="123">
        <f>SUMIF($E$4:$E$132,"410",$AR$4:$AR$132)</f>
        <v>0</v>
      </c>
      <c r="AS140" s="123">
        <f>SUMIF($E$4:$E$132,"410",$AS$4:$AS$132)</f>
        <v>51295383</v>
      </c>
      <c r="AT140" s="123">
        <f>SUMIF($E$4:$E$132,"410",$AT$4:$AT$132)</f>
        <v>0</v>
      </c>
      <c r="AU140" s="123">
        <f>SUMIF($E$4:$E$132,"410",$AU$4:$AU$132)</f>
        <v>114321836</v>
      </c>
      <c r="AV140" s="123">
        <f>SUMIF($E$4:$E$132,"410",$AV$4:$AV$132)</f>
        <v>80296306</v>
      </c>
      <c r="AW140" s="108">
        <f t="shared" si="179"/>
        <v>0.13342672840088976</v>
      </c>
      <c r="AX140" s="28">
        <f t="shared" si="180"/>
        <v>799479273</v>
      </c>
      <c r="AY140" s="126">
        <f>SUMIF($E$4:$E$132,"410",$AY$4:$AY$132)</f>
        <v>0</v>
      </c>
      <c r="AZ140" s="126">
        <f>SUMIF($E$4:$E$132,"410",$AZ$4:$AZ$132)</f>
        <v>377828578</v>
      </c>
      <c r="BA140" s="126">
        <f>SUMIF($E$4:$E$132,"410",$BA$4:$BA$132)</f>
        <v>0</v>
      </c>
      <c r="BB140" s="126">
        <f>SUMIF($E$4:$E$132,"410",$BB$4:$BB$132)</f>
        <v>0</v>
      </c>
      <c r="BC140" s="126">
        <f>SUMIF($E$4:$E$132,"410",$BC$4:$BC$132)</f>
        <v>31307213</v>
      </c>
      <c r="BD140" s="126">
        <f>SUMIF($E$4:$E$132,"410",$BD$4:$BD$132)</f>
        <v>0</v>
      </c>
      <c r="BE140" s="126">
        <f>SUMIF($E$4:$E$132,"410",$BE$4:$BE$132)</f>
        <v>0</v>
      </c>
      <c r="BF140" s="126">
        <f>SUMIF($E$4:$E$132,"410",$BF$4:$BF$132)</f>
        <v>0</v>
      </c>
      <c r="BG140" s="126">
        <f>SUMIF($E$4:$E$132,"410",$BG$4:$BG$132)</f>
        <v>0</v>
      </c>
      <c r="BH140" s="126">
        <f>SUMIF($E$4:$E$132,"410",$BH$4:$BH$132)</f>
        <v>0</v>
      </c>
      <c r="BI140" s="126">
        <f>SUMIF($E$4:$E$132,"410",$BI$4:$BI$132)</f>
        <v>57724388</v>
      </c>
      <c r="BJ140" s="126">
        <f>SUMIF($E$4:$E$132,"410",$BJ$4:$BJ$132)</f>
        <v>67992429</v>
      </c>
      <c r="BK140" s="126">
        <f>SUMIF($E$4:$E$132,"410",$BK$4:$BK$132)</f>
        <v>0</v>
      </c>
      <c r="BL140" s="126">
        <f>SUMIF($E$4:$E$132,"410",$BL$4:$BL$132)</f>
        <v>144242598</v>
      </c>
      <c r="BM140" s="126">
        <f>SUMIF($E$4:$E$132,"510",$BM$4:$BM$132)</f>
        <v>0</v>
      </c>
      <c r="BN140" s="126">
        <f>SUMIF($E$4:$E$132,"410",$BN$4:$BN$132)</f>
        <v>0</v>
      </c>
      <c r="BO140" s="126">
        <f>SUMIF($E$4:$E$132,"410",$BO$4:$BO$132)</f>
        <v>0</v>
      </c>
      <c r="BP140" s="126">
        <f>SUMIF($E$4:$E$132,"410",$BP$4:$BP$132)</f>
        <v>90420000</v>
      </c>
      <c r="BQ140" s="127">
        <f>SUMIF($E$4:$E$132,"410",$BQ$4:$BQ$132)</f>
        <v>29964067</v>
      </c>
      <c r="BR140" s="128">
        <f t="shared" si="181"/>
        <v>0.63125973662254498</v>
      </c>
      <c r="BS140" s="28">
        <f t="shared" si="182"/>
        <v>3782443603</v>
      </c>
      <c r="BT140" s="123">
        <f>SUMIF($E$4:$E$132,"410",$BT$4:$BT$132)</f>
        <v>0</v>
      </c>
      <c r="BU140" s="123">
        <f>SUMIF($E$4:$E$132,"410",$BU$4:$BU$132)</f>
        <v>0</v>
      </c>
      <c r="BV140" s="123">
        <f>SUMIF($E$4:$E$132,"410",$BV$4:$BV$132)</f>
        <v>1276175353</v>
      </c>
      <c r="BW140" s="123">
        <f>SUMIF($E$4:$E$132,"410",$BW$4:$BW$132)</f>
        <v>0</v>
      </c>
      <c r="BX140" s="123">
        <f>SUMIF($E$4:$E$132,"410",$BX$4:$BX$132)</f>
        <v>0</v>
      </c>
      <c r="BY140" s="123">
        <f>SUMIF($E$4:$E$132,"410",$BY$4:$BY$132)</f>
        <v>42967109</v>
      </c>
      <c r="BZ140" s="123">
        <f>SUMIF($E$4:$E$132,"410",$BZ$4:$BZ$132)</f>
        <v>0</v>
      </c>
      <c r="CA140" s="123">
        <f>SUMIF($E$4:$E$132,"410",$CA$4:$CA$132)</f>
        <v>0</v>
      </c>
      <c r="CB140" s="123">
        <f>SUMIF($E$4:$E$132,"410",$CB$4:$CB$132)</f>
        <v>0</v>
      </c>
      <c r="CC140" s="123">
        <f>SUMIF($E$4:$E$132,"410",$CC$4:$CC$132)</f>
        <v>0</v>
      </c>
      <c r="CD140" s="123">
        <f>SUMIF($E$4:$E$132,"410",$CD$4:$CD$132)</f>
        <v>0</v>
      </c>
      <c r="CE140" s="123">
        <f>SUMIF($E$4:$E$132,"410",$CE$4:$CE$132)</f>
        <v>1202759755</v>
      </c>
      <c r="CF140" s="123">
        <f>SUMIF($E$4:$E$132,"410",$CF$4:$CF$132)</f>
        <v>305174306</v>
      </c>
      <c r="CG140" s="123">
        <f>SUMIF($E$4:$E$132,"410",$CG$4:$CG$132)</f>
        <v>0</v>
      </c>
      <c r="CH140" s="123">
        <f>SUMIF($E$4:$E$132,"410",$CH$4:$CH$132)</f>
        <v>845852866</v>
      </c>
      <c r="CI140" s="123">
        <f>SUMIF($E$4:$E$132,"410",$CI$4:$CI$132)</f>
        <v>0</v>
      </c>
      <c r="CJ140" s="123">
        <f>SUMIF($E$4:$E$132,"410",$CJ$4:$CJ$132)</f>
        <v>5867630</v>
      </c>
      <c r="CK140" s="123">
        <f>SUMIF($E$4:$E$132,"410",$CK$4:$CK$132)</f>
        <v>0</v>
      </c>
      <c r="CL140" s="123">
        <f>SUMIF($E$4:$E$132,"410",$CL$4:$CL$132)</f>
        <v>23350298</v>
      </c>
      <c r="CM140" s="129">
        <f>SUMIF($E$4:$E$132,"410",$CM$4:$CM$132)</f>
        <v>80296286</v>
      </c>
      <c r="CN140" s="25">
        <f t="shared" si="183"/>
        <v>0.36874026337745502</v>
      </c>
      <c r="CO140" s="28">
        <f t="shared" si="184"/>
        <v>2209453842</v>
      </c>
      <c r="CP140" s="126">
        <f>SUMIF($E$4:$E$132,"410",$CP$4:$CP$132)</f>
        <v>0</v>
      </c>
      <c r="CQ140" s="126">
        <f>SUMIF($E$4:$E$132,"410",$CQ$4:$CQ$132)</f>
        <v>986921342</v>
      </c>
      <c r="CR140" s="126">
        <f>SUMIF($E$4:$E$132,"410",$CR$4:$CR$132)</f>
        <v>0</v>
      </c>
      <c r="CS140" s="126">
        <f>SUMIF($E$4:$E$132,"410",$CS$4:$CS$132)</f>
        <v>0</v>
      </c>
      <c r="CT140" s="126">
        <f>SUMIF($E$4:$E$132,"410",$CT$4:$CT$132)</f>
        <v>31401481</v>
      </c>
      <c r="CU140" s="126">
        <f>SUMIF($E$4:$E$132,"410",$CU$4:$CU$132)</f>
        <v>0</v>
      </c>
      <c r="CV140" s="130">
        <f>SUMIF($E$4:$E$132,"410",$CV$4:$CV$132)</f>
        <v>0</v>
      </c>
      <c r="CW140" s="130">
        <f>SUMIF($E$4:$E$132,"410",$CW$4:$CW$132)</f>
        <v>0</v>
      </c>
      <c r="CX140" s="130">
        <f>SUMIF($E$4:$E$132,"410",$CX$4:$CX$132)</f>
        <v>0</v>
      </c>
      <c r="CY140" s="130">
        <f>SUMIF($E$4:$E$132,"410",$CY$4:$CY$132)</f>
        <v>0</v>
      </c>
      <c r="CZ140" s="130">
        <f>SUMIF($E$4:$E$132,"410",$CZ$4:$CZ$132)</f>
        <v>642844310</v>
      </c>
      <c r="DA140" s="130">
        <f>SUMIF($E$4:$E$132,"410",$DA$4:$DA$132)</f>
        <v>82522429</v>
      </c>
      <c r="DB140" s="130">
        <f>SUMIF($E$4:$E$132,"410",$DB$4:$DB$132)</f>
        <v>0</v>
      </c>
      <c r="DC140" s="130">
        <f>SUMIF($E$4:$E$132,"410",$DC$4:$DC$132)</f>
        <v>208980902</v>
      </c>
      <c r="DD140" s="130">
        <f>SUMIF($E$4:$E$132,"410",$DD$4:$DD$132)</f>
        <v>0</v>
      </c>
      <c r="DE140" s="130">
        <f>SUMIF($E$4:$E$132,"410",$DE$4:$DE$132)</f>
        <v>45427753</v>
      </c>
      <c r="DF140" s="130">
        <f>SUMIF($E$4:$E$132,"410",$DF$4:$DF$132)</f>
        <v>0</v>
      </c>
      <c r="DG140" s="130">
        <f>SUMIF($E$4:$E$132,"410",$DG$4:$DG$132)</f>
        <v>181391538</v>
      </c>
      <c r="DH140" s="130">
        <f>SUMIF($E$4:$E$132,"410",$DH$4:$DH$132)</f>
        <v>29964087</v>
      </c>
      <c r="DJ140" s="29">
        <f t="shared" si="110"/>
        <v>5991897445</v>
      </c>
      <c r="DK140" s="29">
        <f t="shared" si="185"/>
        <v>5991897445</v>
      </c>
      <c r="DL140" s="29">
        <f t="shared" si="186"/>
        <v>5991897445</v>
      </c>
    </row>
    <row r="141" spans="1:116" ht="14.25" customHeight="1" x14ac:dyDescent="0.25">
      <c r="C141" s="132"/>
      <c r="D141" s="133" t="s">
        <v>377</v>
      </c>
      <c r="E141" s="114">
        <v>510</v>
      </c>
      <c r="F141" s="122"/>
      <c r="G141" s="123">
        <f>SUMIF($E$4:$E$132,"510",$G$4:$G$132)</f>
        <v>1025280977</v>
      </c>
      <c r="H141" s="124">
        <f>SUMIF($E$4:$E$132,"510",$H$4:$H$132)</f>
        <v>0</v>
      </c>
      <c r="I141" s="124">
        <f>SUMIF($E$4:$E$133,"510",$I$4:$I$133)</f>
        <v>0</v>
      </c>
      <c r="J141" s="123">
        <f>SUMIF($E$4:$E$132,"510",$J$4:$J$132)</f>
        <v>0</v>
      </c>
      <c r="K141" s="122">
        <f>SUMIF($E$4:$E$132,"510",$K$4:$K$132)</f>
        <v>801368554</v>
      </c>
      <c r="L141" s="122">
        <f>SUMIF($E$4:$E$132,"510",$L$4:$L$132)</f>
        <v>14004396</v>
      </c>
      <c r="M141" s="122">
        <f>SUMIF($E$4:$E$132,"510",$M$4:$M$132)</f>
        <v>0</v>
      </c>
      <c r="N141" s="122">
        <f>SUMIF($E$4:$E$132,"510",$N$4:$N$132)</f>
        <v>0</v>
      </c>
      <c r="O141" s="122">
        <f>SUMIF($E$4:$E$132,"510",$O$4:$O$132)</f>
        <v>0</v>
      </c>
      <c r="P141" s="122">
        <f>SUMIF($E$4:$E$132,"510",$P$4:$P$132)</f>
        <v>0</v>
      </c>
      <c r="Q141" s="122">
        <f>SUMIF($E$4:$E$132,"510",$Q$4:$Q$132)</f>
        <v>0</v>
      </c>
      <c r="R141" s="122">
        <f>SUMIF($E$4:$E$132,"510",$R$4:$R$132)</f>
        <v>0</v>
      </c>
      <c r="S141" s="122">
        <f>SUMIF($E$4:$E$132,"510",$S$4:$S$132)</f>
        <v>40431446</v>
      </c>
      <c r="T141" s="122">
        <f>SUMIF($E$4:$E$132,"510",$T$4:$T$132)</f>
        <v>1796640</v>
      </c>
      <c r="U141" s="122">
        <f>SUMIF($E$4:$E$132,"510",$U$4:$U$132)</f>
        <v>6000000</v>
      </c>
      <c r="V141" s="122">
        <f>SUMIF($E$4:$E$124,"510",$V$4:$V$124)</f>
        <v>0</v>
      </c>
      <c r="W141" s="122"/>
      <c r="X141" s="122">
        <f>SUMIF($E$4:$E$132,"510",$X$4:$X$132)</f>
        <v>0</v>
      </c>
      <c r="Y141" s="122">
        <f>SUMIF($E$4:$E$132,"510",$Y$4:$Y$132)</f>
        <v>0</v>
      </c>
      <c r="Z141" s="122">
        <f>SUMIF($E$4:$E$132,"510",$Z$4:$Z$132)</f>
        <v>161679941</v>
      </c>
      <c r="AA141" s="125">
        <f t="shared" si="177"/>
        <v>0.89414504664119987</v>
      </c>
      <c r="AB141" s="28">
        <f t="shared" si="178"/>
        <v>916749907</v>
      </c>
      <c r="AC141" s="123">
        <f>SUMIF($E$4:$E$132,"510",$AC$4:$AC$132)</f>
        <v>0</v>
      </c>
      <c r="AD141" s="123">
        <f>SUMIF($E$4:$E$132,"510",$AD$4:$AD$132)</f>
        <v>0</v>
      </c>
      <c r="AE141" s="123">
        <f>SUMIF($E$4:$E$132,"510",$AE$4:$AE$132)</f>
        <v>0</v>
      </c>
      <c r="AF141" s="123">
        <f>SUMIF($E$4:$E$132,"510",$AF$4:$AF$132)</f>
        <v>0</v>
      </c>
      <c r="AG141" s="123">
        <f>SUMIF($E$4:$E$132,"510",$AG$4:$AG$132)</f>
        <v>762817679</v>
      </c>
      <c r="AH141" s="123">
        <f>SUMIF($E$4:$E$132,"510",$AH$4:$AH$132)</f>
        <v>14004396</v>
      </c>
      <c r="AI141" s="123">
        <f>SUMIF($E$4:$E$132,"510",$AI$4:$AI$132)</f>
        <v>0</v>
      </c>
      <c r="AJ141" s="123">
        <f>SUMIF($E$4:$E$132,"510",$AJ$4:$AJ$132)</f>
        <v>0</v>
      </c>
      <c r="AK141" s="123">
        <f>SUMIF($E$4:$E$132,"510",$AK$4:$AK$132)</f>
        <v>0</v>
      </c>
      <c r="AL141" s="123">
        <f>SUMIF($E$4:$E$132,"510",$AL$4:$AL$132)</f>
        <v>0</v>
      </c>
      <c r="AM141" s="123">
        <f>SUMIF($E$4:$E$132,"510",$AM$4:$AM$132)</f>
        <v>0</v>
      </c>
      <c r="AN141" s="123">
        <f>SUMIF($E$4:$E$132,"510",$AN$4:$AN$132)</f>
        <v>0</v>
      </c>
      <c r="AO141" s="123">
        <f>SUMIF($E$4:$E$132,"510",$AO$4:$AO$132)</f>
        <v>23188762</v>
      </c>
      <c r="AP141" s="123">
        <f>SUMIF($E$4:$E$132,"510",$AP$4:$AP$132)</f>
        <v>1796640</v>
      </c>
      <c r="AQ141" s="123">
        <f>SUMIF($E$4:$E$132,"510",$AQ$4:$AQ$132)</f>
        <v>0</v>
      </c>
      <c r="AR141" s="123">
        <f>SUMIF($E$4:$E$132,"510",$AR$4:$AR$132)</f>
        <v>0</v>
      </c>
      <c r="AS141" s="123">
        <f>SUMIF($E$4:$E$132,"510",$AS$4:$AS$132)</f>
        <v>0</v>
      </c>
      <c r="AT141" s="123">
        <f>SUMIF($E$4:$E$132,"510",$AT$4:$AT$132)</f>
        <v>0</v>
      </c>
      <c r="AU141" s="123">
        <f>SUMIF($E$4:$E$132," 510",$AU$4:$AU$132)</f>
        <v>0</v>
      </c>
      <c r="AV141" s="123">
        <f>SUMIF($E$4:$E$132,"510",$AV$4:$AV$132)</f>
        <v>114942430</v>
      </c>
      <c r="AW141" s="108">
        <f t="shared" si="179"/>
        <v>0.10585495335880013</v>
      </c>
      <c r="AX141" s="28">
        <f t="shared" si="180"/>
        <v>108531070</v>
      </c>
      <c r="AY141" s="126">
        <f>SUMIF($E$4:$E$132,"510",$AY$4:$AY$132)</f>
        <v>0</v>
      </c>
      <c r="AZ141" s="126">
        <f>SUMIF($E$4:$E$132,"510",$AZ$4:$AZ$132)</f>
        <v>0</v>
      </c>
      <c r="BA141" s="126">
        <f>SUMIF($E$4:$E$132,"510",$BA$4:$BA$132)</f>
        <v>0</v>
      </c>
      <c r="BB141" s="126">
        <f>SUMIF($E$4:$E$132,"510",$BB$4:$BB$132)</f>
        <v>38550875</v>
      </c>
      <c r="BC141" s="126">
        <f>SUMIF($E$4:$E$132,"510",$BC$4:$BC$132)</f>
        <v>0</v>
      </c>
      <c r="BD141" s="126">
        <f>SUMIF($E$4:$E$132,"510",$BD$4:$BD$132)</f>
        <v>0</v>
      </c>
      <c r="BE141" s="126">
        <f>SUMIF($E$4:$E$132,"510",$BE$4:$BE$132)</f>
        <v>0</v>
      </c>
      <c r="BF141" s="126">
        <f>SUMIF($E$4:$E$132,"510",$BF$4:$BF$132)</f>
        <v>0</v>
      </c>
      <c r="BG141" s="126">
        <f>SUMIF($E$4:$E$132,"510",$BG$4:$BG$132)</f>
        <v>0</v>
      </c>
      <c r="BH141" s="126">
        <f>SUMIF($E$4:$E$132,"510",$BH$4:$BH$132)</f>
        <v>0</v>
      </c>
      <c r="BI141" s="126">
        <f>SUMIF($E$4:$E$132,"510",$BI$4:$BI$132)</f>
        <v>0</v>
      </c>
      <c r="BJ141" s="126">
        <f>SUMIF($E$4:$E$132,"510",$BJ$4:$BJ$132)</f>
        <v>17242684</v>
      </c>
      <c r="BK141" s="126">
        <f>SUMIF($E$4:$E$132,"510",$BK$4:$BK$132)</f>
        <v>0</v>
      </c>
      <c r="BL141" s="126">
        <f>SUMIF($E$4:$E$132,"510",$BL$4:$BL$132)</f>
        <v>6000000</v>
      </c>
      <c r="BM141" s="126">
        <f>SUMIF($E$4:$E$132,"520",$BM$4:$BM$132)</f>
        <v>0</v>
      </c>
      <c r="BN141" s="126"/>
      <c r="BO141" s="126">
        <f>SUMIF($E$4:$E$132,"510",$BO$4:$BO$132)</f>
        <v>0</v>
      </c>
      <c r="BP141" s="126">
        <f>SUMIF($E$4:$E$132,"510",$BP$4:$BP$132)</f>
        <v>0</v>
      </c>
      <c r="BQ141" s="127">
        <f>SUMIF($E$4:$E$132,"510",$BQ$4:$BQ$132)</f>
        <v>46737511</v>
      </c>
      <c r="BR141" s="128">
        <f t="shared" si="181"/>
        <v>0.83585766363048397</v>
      </c>
      <c r="BS141" s="28">
        <f t="shared" si="182"/>
        <v>856988962</v>
      </c>
      <c r="BT141" s="123">
        <f>SUMIF($E$4:$E$132,"510",$BT$4:$BT$132)</f>
        <v>0</v>
      </c>
      <c r="BU141" s="123">
        <f>SUMIF($E$4:$E$132,"510",$BU$4:$BU$132)</f>
        <v>0</v>
      </c>
      <c r="BV141" s="123">
        <f>SUMIF($E$4:$E$132,"510",$BV$4:$BV$132)</f>
        <v>0</v>
      </c>
      <c r="BW141" s="123">
        <f>SUMIF($E$4:$E$132,"510",$BW$4:$BW$132)</f>
        <v>0</v>
      </c>
      <c r="BX141" s="123">
        <f>SUMIF($E$4:$E$132,"510",$BX$4:$BX$132)</f>
        <v>717689668</v>
      </c>
      <c r="BY141" s="123">
        <f>SUMIF($E$4:$E$132,"510",$BY$4:$BY$132)</f>
        <v>14004396</v>
      </c>
      <c r="BZ141" s="123">
        <f>SUMIF($E$4:$E$132,"510",$BZ$4:$BZ$132)</f>
        <v>0</v>
      </c>
      <c r="CA141" s="123">
        <f>SUMIF($E$4:$E$132,"510",$CA$4:$CA$132)</f>
        <v>0</v>
      </c>
      <c r="CB141" s="123">
        <f>SUMIF($E$4:$E$132,"510",$CB$4:$CB$132)</f>
        <v>0</v>
      </c>
      <c r="CC141" s="123">
        <f>SUMIF($E$4:$E$132,"510",$CC$4:$CC$132)</f>
        <v>0</v>
      </c>
      <c r="CD141" s="123">
        <f>SUMIF($E$4:$E$132,"510",$CD$4:$CD$132)</f>
        <v>0</v>
      </c>
      <c r="CE141" s="123">
        <f>SUMIF($E$4:$E$132,"510",$CE$4:$CE$132)</f>
        <v>0</v>
      </c>
      <c r="CF141" s="123">
        <f>SUMIF($E$4:$E$132,"510",$CF$4:$CF$132)</f>
        <v>23178230</v>
      </c>
      <c r="CG141" s="123">
        <f>SUMIF($E$4:$E$132,"510",$CG$4:$CG$132)</f>
        <v>1796640</v>
      </c>
      <c r="CH141" s="123">
        <f>SUMIF($E$4:$E$132,"510",$CH$4:$CH$132)</f>
        <v>0</v>
      </c>
      <c r="CI141" s="123">
        <f>SUMIF($E$4:$E$132,"510",$CI$4:$CI$132)</f>
        <v>0</v>
      </c>
      <c r="CJ141" s="123">
        <f>SUMIF($E$4:$E$132,"111",$CJ$4:$CJ$132)</f>
        <v>0</v>
      </c>
      <c r="CK141" s="123">
        <f>SUMIF($E$4:$E$132,"510",$CK$4:$CK$132)</f>
        <v>0</v>
      </c>
      <c r="CL141" s="123">
        <f>SUMIF($E$4:$E$132,"510",$CL$4:$CL$132)</f>
        <v>0</v>
      </c>
      <c r="CM141" s="129">
        <f>SUMIF($E$4:$E$132,"510",$CM$4:$CM$132)</f>
        <v>100320028</v>
      </c>
      <c r="CN141" s="25">
        <f t="shared" si="183"/>
        <v>0.16414233636951603</v>
      </c>
      <c r="CO141" s="28">
        <f t="shared" si="184"/>
        <v>168292015</v>
      </c>
      <c r="CP141" s="126">
        <f>SUMIF($E$4:$E$132,"510",$CP$4:$CP$132)</f>
        <v>0</v>
      </c>
      <c r="CQ141" s="126">
        <f>SUMIF($E$4:$E$132,"510",$CQ$4:$CQ$132)</f>
        <v>0</v>
      </c>
      <c r="CR141" s="126">
        <f>SUMIF($E$4:$E$132,"510",$CR$4:$CR$132)</f>
        <v>0</v>
      </c>
      <c r="CS141" s="126">
        <f>SUMIF($E$4:$E$132,"510",$CS$4:$CS$132)</f>
        <v>83678886</v>
      </c>
      <c r="CT141" s="126">
        <f>SUMIF($E$4:$E$132,"510",$CT$4:$CT$132)</f>
        <v>0</v>
      </c>
      <c r="CU141" s="126">
        <f>SUMIF($E$4:$E$132,"510",$CU$4:$CU$132)</f>
        <v>0</v>
      </c>
      <c r="CV141" s="130">
        <f>SUMIF($E$4:$E$132,"510",$CV$4:$CV$132)</f>
        <v>0</v>
      </c>
      <c r="CW141" s="130">
        <f>SUMIF($E$4:$E$132,"510",$CW$4:$CW$132)</f>
        <v>0</v>
      </c>
      <c r="CX141" s="130">
        <f>SUMIF($E$4:$E$132,"510",$CX$4:$CX$132)</f>
        <v>0</v>
      </c>
      <c r="CY141" s="130">
        <f>SUMIF($E$4:$E$132,"510",$CY$4:$CY$132)</f>
        <v>0</v>
      </c>
      <c r="CZ141" s="130">
        <f>SUMIF($E$4:$E$132,"510",$CZ$4:$CZ$132)</f>
        <v>0</v>
      </c>
      <c r="DA141" s="130">
        <f>SUMIF($E$4:$E$132,"510",$DA$4:$DA$132)</f>
        <v>17253216</v>
      </c>
      <c r="DB141" s="130">
        <f>SUMIF($E$4:$E$132,"510",$DB$4:$DB$132)</f>
        <v>0</v>
      </c>
      <c r="DC141" s="130">
        <f>SUMIF($E$4:$E$132,"510",$DC$4:$DC$132)</f>
        <v>6000000</v>
      </c>
      <c r="DD141" s="130">
        <f>SUMIF($E$4:$E$132,"510",$DD$4:$DD$132)</f>
        <v>0</v>
      </c>
      <c r="DE141" s="130">
        <f>SUMIF($E$4:$E$132,"510",$DE$4:$DE$132)</f>
        <v>0</v>
      </c>
      <c r="DF141" s="130">
        <f>SUMIF($E$4:$E$132,"510",$DF$4:$DF$132)</f>
        <v>0</v>
      </c>
      <c r="DG141" s="130">
        <f>SUMIF($E$4:$E$132,"510",$DG$4:$DG$132)</f>
        <v>0</v>
      </c>
      <c r="DH141" s="130">
        <f>SUMIF($E$4:$E$132,"510",$DH$4:$DH$132)</f>
        <v>61359913</v>
      </c>
      <c r="DJ141" s="29">
        <f t="shared" si="110"/>
        <v>1025280977</v>
      </c>
      <c r="DK141" s="29">
        <f t="shared" si="185"/>
        <v>1025280977</v>
      </c>
      <c r="DL141" s="29">
        <f t="shared" si="186"/>
        <v>1025280977</v>
      </c>
    </row>
    <row r="142" spans="1:116" x14ac:dyDescent="0.25">
      <c r="C142" s="132"/>
      <c r="D142" s="121" t="s">
        <v>378</v>
      </c>
      <c r="E142" s="114">
        <v>520</v>
      </c>
      <c r="F142" s="122"/>
      <c r="G142" s="123">
        <f>SUMIF($E$4:$E$132,"520",$G$4:$G$132)</f>
        <v>1760134547</v>
      </c>
      <c r="H142" s="124">
        <f>SUMIF($E$4:$E$132,"520",$H$4:$H$132)</f>
        <v>0</v>
      </c>
      <c r="I142" s="124">
        <f>SUMIF($E$4:$E$132,"520",$I$4:$I$132)</f>
        <v>0</v>
      </c>
      <c r="J142" s="123">
        <f>SUMIF($E$4:$E$132,"520",$J$4:$J$132)</f>
        <v>0</v>
      </c>
      <c r="K142" s="122">
        <f>SUMIF($E$4:$E$132,"520",$K$4:$K$132)</f>
        <v>520000000</v>
      </c>
      <c r="L142" s="122">
        <f>SUMIF($E$4:$E$132,"520",$L$4:$L$132)</f>
        <v>50000000</v>
      </c>
      <c r="M142" s="122">
        <f>SUMIF($E$4:$E$132,"520",$M$4:$M$132)</f>
        <v>0</v>
      </c>
      <c r="N142" s="122">
        <f>SUMIF($E$4:$E$132,"520",$N$4:$N$132)</f>
        <v>0</v>
      </c>
      <c r="O142" s="122">
        <f>SUMIF($E$4:$E$132,"520",$O$4:$O$132)</f>
        <v>0</v>
      </c>
      <c r="P142" s="122">
        <f>SUMIF($E$4:$E$132,"520",$P$4:$P$132)</f>
        <v>0</v>
      </c>
      <c r="Q142" s="122">
        <f>SUMIF($E$4:$E$132,"520",$Q$4:$Q$132)</f>
        <v>0</v>
      </c>
      <c r="R142" s="122">
        <f>SUMIF($E$4:$E$132,"520",$R$4:$R$132)</f>
        <v>244000000</v>
      </c>
      <c r="S142" s="122">
        <f>SUMIF($E$4:$E$132,"520",$S$4:$S$132)</f>
        <v>333901442</v>
      </c>
      <c r="T142" s="122">
        <f>SUMIF($E$4:$E$132,"520",$T$4:$T$132)</f>
        <v>0</v>
      </c>
      <c r="U142" s="122">
        <f>SUMIF($E$4:$E$132,"520",$U$4:$U$132)</f>
        <v>0</v>
      </c>
      <c r="V142" s="122">
        <f>SUMIF($E$4:$E$124,"520",$V$4:$V$124)</f>
        <v>0</v>
      </c>
      <c r="W142" s="122"/>
      <c r="X142" s="122">
        <f>SUMIF($E$4:$E$132,"520",$X$4:$X$132)</f>
        <v>0</v>
      </c>
      <c r="Y142" s="122">
        <f>SUMIF($E$4:$E$132,"520",$Y$4:$Y$132)</f>
        <v>0</v>
      </c>
      <c r="Z142" s="122">
        <f>SUMIF($E$4:$E$132,"520",$Z$4:$Z$132)</f>
        <v>612233105</v>
      </c>
      <c r="AA142" s="125">
        <f t="shared" si="177"/>
        <v>0.83588880890251627</v>
      </c>
      <c r="AB142" s="28">
        <f t="shared" si="178"/>
        <v>1471276770</v>
      </c>
      <c r="AC142" s="123">
        <f>SUMIF($E$4:$E$132,"520",$AC$4:$AC$132)</f>
        <v>0</v>
      </c>
      <c r="AD142" s="123">
        <f>SUMIF($E$4:$E$132,"520",$AD$4:$AD$132)</f>
        <v>0</v>
      </c>
      <c r="AE142" s="123">
        <f>SUMIF($E$4:$E$132,"520",$AE$4:$AE$132)</f>
        <v>0</v>
      </c>
      <c r="AF142" s="123">
        <f>SUMIF($E$4:$E$132,"520",$AF$4:$AF$132)</f>
        <v>0</v>
      </c>
      <c r="AG142" s="123">
        <f>SUMIF($E$4:$E$132,"520",$AG$4:$AG$132)</f>
        <v>396302174</v>
      </c>
      <c r="AH142" s="123">
        <f>SUMIF($E$4:$E$132,"520",$AH$4:$AH$132)</f>
        <v>49797725</v>
      </c>
      <c r="AI142" s="123">
        <f>SUMIF($E$4:$E$132,"520",$AI$4:$AI$132)</f>
        <v>0</v>
      </c>
      <c r="AJ142" s="123">
        <f>SUMIF($E$4:$E$132,"520",$AJ$4:$AJ$132)</f>
        <v>0</v>
      </c>
      <c r="AK142" s="123">
        <f>SUMIF($E$4:$E$132,"520",$AK$4:$AK$132)</f>
        <v>0</v>
      </c>
      <c r="AL142" s="123">
        <f>SUMIF($E$4:$E$132,"520",$AL$4:$AL$132)</f>
        <v>0</v>
      </c>
      <c r="AM142" s="123">
        <f>SUMIF($E$4:$E$132,"520",$AM$4:$AM$132)</f>
        <v>0</v>
      </c>
      <c r="AN142" s="123">
        <f>SUMIF($E$4:$E$132,"520",$AN$4:$AN$132)</f>
        <v>187101991</v>
      </c>
      <c r="AO142" s="123">
        <f>SUMIF($E$4:$E$132,"520",$AO$4:$AO$132)</f>
        <v>292539894</v>
      </c>
      <c r="AP142" s="123">
        <f>SUMIF($E$4:$E$132,"520",$AP$4:$AP$132)</f>
        <v>0</v>
      </c>
      <c r="AQ142" s="123">
        <f>SUMIF($E$4:$E$132,"520",$AQ$4:$AQ$132)</f>
        <v>0</v>
      </c>
      <c r="AR142" s="123">
        <f>SUMIF($E$4:$E$132,"520",$AR$4:$AR$132)</f>
        <v>0</v>
      </c>
      <c r="AS142" s="123">
        <f>SUMIF($E$4:$E$132,"520",$AS$4:$AS$132)</f>
        <v>0</v>
      </c>
      <c r="AT142" s="123">
        <f>SUMIF($E$4:$E$132,"520",$AT$4:$AT$132)</f>
        <v>0</v>
      </c>
      <c r="AU142" s="123">
        <f>SUMIF($E$4:$E$132,"520",$AU$4:$AU$132)</f>
        <v>0</v>
      </c>
      <c r="AV142" s="123">
        <f>SUMIF($E$4:$E$132,"520",$AV$4:$AV$132)</f>
        <v>545534986</v>
      </c>
      <c r="AW142" s="108">
        <f t="shared" si="179"/>
        <v>0.16411119109748373</v>
      </c>
      <c r="AX142" s="28">
        <f t="shared" si="180"/>
        <v>288857777</v>
      </c>
      <c r="AY142" s="126">
        <f>SUMIF($E$4:$E$132,"520",$AY$4:$AY$132)</f>
        <v>0</v>
      </c>
      <c r="AZ142" s="126">
        <f>SUMIF($E$4:$E$132,"520",$AZ$4:$AZ$132)</f>
        <v>0</v>
      </c>
      <c r="BA142" s="126">
        <f>SUMIF($E$4:$E$132,"520",$BA$4:$BA$132)</f>
        <v>0</v>
      </c>
      <c r="BB142" s="126">
        <f>SUMIF($E$4:$E$132,"520",$BB$4:$BB$132)</f>
        <v>123697826</v>
      </c>
      <c r="BC142" s="126">
        <f>SUMIF($E$4:$E$132,"520",$BC$4:$BC$132)</f>
        <v>202275</v>
      </c>
      <c r="BD142" s="126">
        <f>SUMIF($E$4:$E$132,"520",$BD$4:$BD$132)</f>
        <v>0</v>
      </c>
      <c r="BE142" s="126">
        <f>SUMIF($E$4:$E$132,"520",$BE$4:$BE$132)</f>
        <v>0</v>
      </c>
      <c r="BF142" s="126">
        <f>SUMIF($E$4:$E$132,"520",$BF$4:$BF$132)</f>
        <v>0</v>
      </c>
      <c r="BG142" s="126">
        <f>SUMIF($E$4:$E$132,"520",$BG$4:$BG$132)</f>
        <v>0</v>
      </c>
      <c r="BH142" s="126">
        <f>SUMIF($E$4:$E$132,"520",$BH$4:$BH$132)</f>
        <v>0</v>
      </c>
      <c r="BI142" s="126">
        <f>SUMIF($E$4:$E$132,"520",$BI$4:$BI$132)</f>
        <v>56898009</v>
      </c>
      <c r="BJ142" s="126">
        <f>SUMIF($E$4:$E$132,"520",$BJ$4:$BJ$132)</f>
        <v>41361548</v>
      </c>
      <c r="BK142" s="126">
        <f>SUMIF($E$4:$E$132,"520",$BK$4:$BK$132)</f>
        <v>0</v>
      </c>
      <c r="BL142" s="126">
        <f>SUMIF($E$4:$E$132,"520",$BL$4:$BL$132)</f>
        <v>0</v>
      </c>
      <c r="BM142" s="126">
        <f>SUMIF($E$4:$E$132,"111",$BM$4:$BM$132)</f>
        <v>0</v>
      </c>
      <c r="BN142" s="126"/>
      <c r="BO142" s="126">
        <f>SUMIF($E$4:$E$132,"520",$BO$4:$BO$132)</f>
        <v>0</v>
      </c>
      <c r="BP142" s="126">
        <f>SUMIF($E$4:$E$132,"520",$BP$4:$BP$132)</f>
        <v>0</v>
      </c>
      <c r="BQ142" s="127">
        <f>SUMIF($E$4:$E$132,"520",$BQ$4:$BQ$132)</f>
        <v>66698119</v>
      </c>
      <c r="BR142" s="128">
        <f t="shared" si="181"/>
        <v>0.80967760358379015</v>
      </c>
      <c r="BS142" s="28">
        <f t="shared" si="182"/>
        <v>1425141522</v>
      </c>
      <c r="BT142" s="123">
        <f>SUMIF($E$4:$E$132,"520",$BT$4:$BT$132)</f>
        <v>0</v>
      </c>
      <c r="BU142" s="123">
        <f>SUMIF($E$4:$E$132,"520",$BU$4:$BU$132)</f>
        <v>0</v>
      </c>
      <c r="BV142" s="123">
        <f>SUMIF($E$4:$E$132,"520",$BV$4:$BV$132)</f>
        <v>0</v>
      </c>
      <c r="BW142" s="123">
        <f>SUMIF($E$4:$E$132,"520",$BW$4:$BW$132)</f>
        <v>0</v>
      </c>
      <c r="BX142" s="123">
        <f>SUMIF($E$4:$E$132,"520",$BX$4:$BX$132)</f>
        <v>363309545</v>
      </c>
      <c r="BY142" s="123">
        <f>SUMIF($E$4:$E$132,"520",$BY$4:$BY$132)</f>
        <v>49797725</v>
      </c>
      <c r="BZ142" s="123">
        <f>SUMIF($E$4:$E$132,"520",$BZ$4:$BZ$132)</f>
        <v>0</v>
      </c>
      <c r="CA142" s="123">
        <f>SUMIF($E$4:$E$132,"520",$CA$4:$CA$132)</f>
        <v>0</v>
      </c>
      <c r="CB142" s="123">
        <f>SUMIF($E$4:$E$132,"520",$CB$4:$CB$132)</f>
        <v>0</v>
      </c>
      <c r="CC142" s="123">
        <f>SUMIF($E$4:$E$132,"520",$CC$4:$CC$132)</f>
        <v>0</v>
      </c>
      <c r="CD142" s="123">
        <f>SUMIF($E$4:$E$132,"520",$CD$4:$CD$132)</f>
        <v>0</v>
      </c>
      <c r="CE142" s="123">
        <f>SUMIF($E$4:$E$132,"520",$CE$4:$CE$132)</f>
        <v>185375614</v>
      </c>
      <c r="CF142" s="123">
        <f>SUMIF($E$4:$E$132,"520",$CF$4:$CF$132)</f>
        <v>289592456</v>
      </c>
      <c r="CG142" s="123">
        <f>SUMIF($E$4:$E$132,"520",$CG$4:$CG$132)</f>
        <v>0</v>
      </c>
      <c r="CH142" s="123">
        <f>SUMIF($E$4:$E$132,"520",$CH$4:$CH$132)</f>
        <v>0</v>
      </c>
      <c r="CI142" s="123">
        <f>SUMIF($E$4:$E$132,"520",$CI$4:$CI$132)</f>
        <v>0</v>
      </c>
      <c r="CJ142" s="123">
        <f>SUMIF($E$4:$E$132,"111",$CJ$4:$CJ$132)</f>
        <v>0</v>
      </c>
      <c r="CK142" s="123">
        <f>SUMIF($E$4:$E$132,"520",$CK$4:$CK$132)</f>
        <v>0</v>
      </c>
      <c r="CL142" s="123">
        <f>SUMIF($E$4:$E$132,"520",$CL$4:$CL$132)</f>
        <v>0</v>
      </c>
      <c r="CM142" s="129">
        <f>SUMIF($E$4:$E$132,"520",$CM$4:$CM$132)</f>
        <v>537066182</v>
      </c>
      <c r="CN142" s="25">
        <f t="shared" si="183"/>
        <v>0.19032239641620985</v>
      </c>
      <c r="CO142" s="28">
        <f t="shared" si="184"/>
        <v>334993025</v>
      </c>
      <c r="CP142" s="126">
        <f>SUMIF($E$4:$E$132,"520",$CP$4:$CP$132)</f>
        <v>0</v>
      </c>
      <c r="CQ142" s="126">
        <f>SUMIF($E$4:$E$132,"520",$CQ$4:$CQ$132)</f>
        <v>0</v>
      </c>
      <c r="CR142" s="126">
        <f>SUMIF($E$4:$E$132,"520",$CR$4:$CR$132)</f>
        <v>0</v>
      </c>
      <c r="CS142" s="126">
        <f>SUMIF($E$4:$E$132,"520",$CS$4:$CS$132)</f>
        <v>156690455</v>
      </c>
      <c r="CT142" s="126">
        <f>SUMIF($E$4:$E$132,"520",$CT$4:$CT$132)</f>
        <v>202275</v>
      </c>
      <c r="CU142" s="126">
        <f>SUMIF($E$4:$E$132,"520",$CU$4:$CU$132)</f>
        <v>0</v>
      </c>
      <c r="CV142" s="130">
        <f>SUMIF($E$4:$E$132,"520",$CV$4:$CV$132)</f>
        <v>0</v>
      </c>
      <c r="CW142" s="130">
        <f>SUMIF($E$4:$E$132,"520",$CW$4:$CW$132)</f>
        <v>0</v>
      </c>
      <c r="CX142" s="130">
        <f>SUMIF($E$4:$E$132,"520",$CX$4:$CX$132)</f>
        <v>0</v>
      </c>
      <c r="CY142" s="130">
        <f>SUMIF($E$4:$E$132,"520",$CY$4:$CY$132)</f>
        <v>0</v>
      </c>
      <c r="CZ142" s="130">
        <f>SUMIF($E$4:$E$132,"520",$CZ$4:$CZ$132)</f>
        <v>58624386</v>
      </c>
      <c r="DA142" s="130">
        <f>SUMIF($E$4:$E$132,"520",$DA$4:$DA$132)</f>
        <v>44308986</v>
      </c>
      <c r="DB142" s="130">
        <f>SUMIF($E$4:$E$132,"520",$DB$4:$DB$132)</f>
        <v>0</v>
      </c>
      <c r="DC142" s="130">
        <f>SUMIF($E$4:$E$132,"520",$DC$4:$DC$132)</f>
        <v>0</v>
      </c>
      <c r="DD142" s="130">
        <f>SUMIF($E$4:$E$132,"520",$DD$4:$DD$132)</f>
        <v>0</v>
      </c>
      <c r="DE142" s="130">
        <f>SUMIF($E$4:$E$132,"520",$DE$4:$DE$132)</f>
        <v>0</v>
      </c>
      <c r="DF142" s="130">
        <f>SUMIF($E$4:$E$132,"520",$DF$4:$DF$132)</f>
        <v>0</v>
      </c>
      <c r="DG142" s="130">
        <f>SUMIF($E$4:$E$132,"520",$DG$4:$DG$132)</f>
        <v>0</v>
      </c>
      <c r="DH142" s="130">
        <f>SUMIF($E$4:$E$132,"520",$DH$4:$DH$132)</f>
        <v>75166923</v>
      </c>
      <c r="DJ142" s="29">
        <f t="shared" si="110"/>
        <v>1760134547</v>
      </c>
      <c r="DK142" s="29">
        <f t="shared" si="185"/>
        <v>1760134547</v>
      </c>
      <c r="DL142" s="29">
        <f t="shared" si="186"/>
        <v>1760134547</v>
      </c>
    </row>
    <row r="143" spans="1:116" x14ac:dyDescent="0.25">
      <c r="C143" s="132"/>
      <c r="D143" s="121" t="s">
        <v>379</v>
      </c>
      <c r="E143" s="114" t="s">
        <v>351</v>
      </c>
      <c r="F143" s="122"/>
      <c r="G143" s="123">
        <f>SUMIF($E$4:$E$132,"520-2",$G$4:$G$132)</f>
        <v>3185000000</v>
      </c>
      <c r="H143" s="124"/>
      <c r="I143" s="124"/>
      <c r="J143" s="124"/>
      <c r="K143" s="124"/>
      <c r="L143" s="124"/>
      <c r="M143" s="124"/>
      <c r="N143" s="124"/>
      <c r="O143" s="124"/>
      <c r="P143" s="124"/>
      <c r="Q143" s="124"/>
      <c r="R143" s="124"/>
      <c r="S143" s="124"/>
      <c r="T143" s="122">
        <f>SUMIF($E$4:$E$132,"520-2",$T$4:$T$132)</f>
        <v>485000000</v>
      </c>
      <c r="U143" s="124"/>
      <c r="V143" s="124"/>
      <c r="W143" s="124"/>
      <c r="X143" s="122">
        <f>SUMIF($E$4:$E$132,"520-2",$X$4:$X$132)</f>
        <v>2700000000</v>
      </c>
      <c r="Y143" s="124"/>
      <c r="Z143" s="122">
        <f>SUMIF($E$4:$E$132,"520-2",$Z$4:$Z$132)</f>
        <v>0</v>
      </c>
      <c r="AA143" s="125">
        <f t="shared" si="177"/>
        <v>0.89515172433281009</v>
      </c>
      <c r="AB143" s="28">
        <f t="shared" si="178"/>
        <v>2851058242</v>
      </c>
      <c r="AC143" s="123"/>
      <c r="AD143" s="123"/>
      <c r="AE143" s="123"/>
      <c r="AF143" s="123"/>
      <c r="AG143" s="123"/>
      <c r="AH143" s="123"/>
      <c r="AI143" s="123"/>
      <c r="AJ143" s="123"/>
      <c r="AK143" s="123"/>
      <c r="AL143" s="123"/>
      <c r="AM143" s="123"/>
      <c r="AN143" s="123"/>
      <c r="AO143" s="123"/>
      <c r="AP143" s="123">
        <f>SUMIF($E$4:$E$132,"520-2",$AP$4:$AP$132)</f>
        <v>451915027</v>
      </c>
      <c r="AQ143" s="123"/>
      <c r="AR143" s="123"/>
      <c r="AS143" s="123">
        <f>SUMIF($E$4:$E$132,"520-2",$AS$4:$AS$132)</f>
        <v>0</v>
      </c>
      <c r="AT143" s="123">
        <f>SUMIF($E$4:$E$132,"520-2",$AT$4:$AT$132)</f>
        <v>2399143215</v>
      </c>
      <c r="AU143" s="123"/>
      <c r="AV143" s="123"/>
      <c r="AW143" s="108">
        <f t="shared" si="179"/>
        <v>0.10484827566718991</v>
      </c>
      <c r="AX143" s="28">
        <f t="shared" si="180"/>
        <v>333941758</v>
      </c>
      <c r="AY143" s="126"/>
      <c r="AZ143" s="126"/>
      <c r="BA143" s="126"/>
      <c r="BB143" s="126"/>
      <c r="BC143" s="126"/>
      <c r="BD143" s="126"/>
      <c r="BE143" s="126"/>
      <c r="BF143" s="126"/>
      <c r="BG143" s="126"/>
      <c r="BH143" s="126"/>
      <c r="BI143" s="126"/>
      <c r="BJ143" s="126"/>
      <c r="BK143" s="126">
        <f>SUMIF($E$4:$E$132,"520-2",$BK$4:$BK$132)</f>
        <v>33084973</v>
      </c>
      <c r="BL143" s="126"/>
      <c r="BM143" s="126"/>
      <c r="BN143" s="126"/>
      <c r="BO143" s="126">
        <f>SUMIF($E$4:$E$132,"520-2",$BO$4:$BO$132)</f>
        <v>300856785</v>
      </c>
      <c r="BP143" s="126"/>
      <c r="BQ143" s="127"/>
      <c r="BR143" s="128">
        <f t="shared" si="181"/>
        <v>0.27659845714285713</v>
      </c>
      <c r="BS143" s="28">
        <f>SUM(BT143:CM143)</f>
        <v>880966086</v>
      </c>
      <c r="BT143" s="129"/>
      <c r="BU143" s="129"/>
      <c r="BV143" s="129"/>
      <c r="BW143" s="129"/>
      <c r="BX143" s="123"/>
      <c r="BY143" s="123"/>
      <c r="BZ143" s="123"/>
      <c r="CA143" s="123"/>
      <c r="CB143" s="123"/>
      <c r="CC143" s="123"/>
      <c r="CD143" s="123"/>
      <c r="CE143" s="123"/>
      <c r="CF143" s="123"/>
      <c r="CG143" s="123">
        <f>SUMIF($E$4:$E$132,"520-2",$CG$4:$CG$132)</f>
        <v>451915027</v>
      </c>
      <c r="CH143" s="123"/>
      <c r="CI143" s="123"/>
      <c r="CJ143" s="123">
        <f>SUMIF($E$4:$E$132,"111",$CJ$4:$CJ$132)</f>
        <v>0</v>
      </c>
      <c r="CK143" s="123">
        <f>SUMIF($E$4:$E$132,"520-2",$CK$4:$CK$132)</f>
        <v>429051059</v>
      </c>
      <c r="CL143" s="123"/>
      <c r="CM143" s="129"/>
      <c r="CN143" s="25">
        <f t="shared" si="183"/>
        <v>0.72340154285714287</v>
      </c>
      <c r="CO143" s="28">
        <f t="shared" si="184"/>
        <v>2304033914</v>
      </c>
      <c r="CP143" s="127"/>
      <c r="CQ143" s="127"/>
      <c r="CR143" s="127"/>
      <c r="CS143" s="126"/>
      <c r="CT143" s="126"/>
      <c r="CU143" s="126"/>
      <c r="CV143" s="130"/>
      <c r="CW143" s="130"/>
      <c r="CX143" s="130"/>
      <c r="CY143" s="130"/>
      <c r="CZ143" s="130"/>
      <c r="DA143" s="130"/>
      <c r="DB143" s="130">
        <f>SUMIF($E$4:$E$132,"520-2",$DB$4:$DB$132)</f>
        <v>33084973</v>
      </c>
      <c r="DC143" s="130"/>
      <c r="DD143" s="130"/>
      <c r="DE143" s="130">
        <f>SUMIF($E$4:$E$132,"520-2",$DE$4:$DE$132)</f>
        <v>0</v>
      </c>
      <c r="DF143" s="130">
        <f>SUMIF($E$4:$E$132,"520-2",$DF$4:$DF$132)</f>
        <v>2270948941</v>
      </c>
      <c r="DG143" s="130"/>
      <c r="DH143" s="130"/>
      <c r="DJ143" s="29">
        <f t="shared" si="110"/>
        <v>3185000000</v>
      </c>
      <c r="DK143" s="29">
        <f t="shared" si="185"/>
        <v>3185000000</v>
      </c>
      <c r="DL143" s="29">
        <f t="shared" si="186"/>
        <v>3185000000</v>
      </c>
    </row>
    <row r="144" spans="1:116" x14ac:dyDescent="0.25">
      <c r="C144" s="132"/>
      <c r="D144" s="121" t="s">
        <v>380</v>
      </c>
      <c r="E144" s="134"/>
      <c r="F144" s="135"/>
      <c r="G144" s="136">
        <f t="shared" ref="G144:Z144" si="187">SUM(G137:G143)</f>
        <v>22012908151</v>
      </c>
      <c r="H144" s="136">
        <f t="shared" si="187"/>
        <v>0</v>
      </c>
      <c r="I144" s="136">
        <f t="shared" si="187"/>
        <v>10070925003</v>
      </c>
      <c r="J144" s="136">
        <f t="shared" si="187"/>
        <v>171003327</v>
      </c>
      <c r="K144" s="136">
        <f t="shared" si="187"/>
        <v>1899736650</v>
      </c>
      <c r="L144" s="136">
        <f t="shared" si="187"/>
        <v>138372986</v>
      </c>
      <c r="M144" s="136">
        <f t="shared" si="187"/>
        <v>54387</v>
      </c>
      <c r="N144" s="136">
        <f t="shared" si="187"/>
        <v>30665828</v>
      </c>
      <c r="O144" s="136">
        <f t="shared" si="187"/>
        <v>1940856</v>
      </c>
      <c r="P144" s="136">
        <f t="shared" si="187"/>
        <v>3438802</v>
      </c>
      <c r="Q144" s="136">
        <f t="shared" si="187"/>
        <v>345941457</v>
      </c>
      <c r="R144" s="136">
        <f t="shared" si="187"/>
        <v>2094582849</v>
      </c>
      <c r="S144" s="136">
        <f t="shared" si="187"/>
        <v>1142029623</v>
      </c>
      <c r="T144" s="136">
        <f t="shared" si="187"/>
        <v>486796640</v>
      </c>
      <c r="U144" s="136">
        <f t="shared" si="187"/>
        <v>1060833768</v>
      </c>
      <c r="V144" s="136">
        <f t="shared" si="187"/>
        <v>0</v>
      </c>
      <c r="W144" s="136">
        <f t="shared" si="187"/>
        <v>51295383</v>
      </c>
      <c r="X144" s="136">
        <f t="shared" si="187"/>
        <v>2700000000</v>
      </c>
      <c r="Y144" s="136">
        <f t="shared" si="187"/>
        <v>204741836</v>
      </c>
      <c r="Z144" s="136">
        <f t="shared" si="187"/>
        <v>1610548756</v>
      </c>
      <c r="AA144" s="125">
        <f t="shared" si="177"/>
        <v>0.74594419961971525</v>
      </c>
      <c r="AB144" s="136">
        <f t="shared" ref="AB144:AV144" si="188">SUM(AB137:AB143)</f>
        <v>16420401152</v>
      </c>
      <c r="AC144" s="136">
        <f t="shared" si="188"/>
        <v>0</v>
      </c>
      <c r="AD144" s="136">
        <f t="shared" si="188"/>
        <v>0</v>
      </c>
      <c r="AE144" s="136">
        <f t="shared" si="188"/>
        <v>6640335408</v>
      </c>
      <c r="AF144" s="136">
        <f t="shared" si="188"/>
        <v>147809410</v>
      </c>
      <c r="AG144" s="136">
        <f t="shared" si="188"/>
        <v>1617714455</v>
      </c>
      <c r="AH144" s="136">
        <f t="shared" si="188"/>
        <v>106863498</v>
      </c>
      <c r="AI144" s="136">
        <f t="shared" si="188"/>
        <v>0</v>
      </c>
      <c r="AJ144" s="136">
        <f t="shared" si="188"/>
        <v>0</v>
      </c>
      <c r="AK144" s="136">
        <f t="shared" si="188"/>
        <v>0</v>
      </c>
      <c r="AL144" s="136">
        <f t="shared" si="188"/>
        <v>300000</v>
      </c>
      <c r="AM144" s="136">
        <f t="shared" si="188"/>
        <v>164856575</v>
      </c>
      <c r="AN144" s="136">
        <f t="shared" si="188"/>
        <v>1974981668</v>
      </c>
      <c r="AO144" s="136">
        <f t="shared" si="188"/>
        <v>885432962</v>
      </c>
      <c r="AP144" s="136">
        <f t="shared" si="188"/>
        <v>453711667</v>
      </c>
      <c r="AQ144" s="136">
        <f t="shared" si="188"/>
        <v>910591170</v>
      </c>
      <c r="AR144" s="136">
        <f t="shared" si="188"/>
        <v>0</v>
      </c>
      <c r="AS144" s="136">
        <f t="shared" si="188"/>
        <v>51295383</v>
      </c>
      <c r="AT144" s="136">
        <f t="shared" si="188"/>
        <v>2399143215</v>
      </c>
      <c r="AU144" s="136">
        <f t="shared" si="188"/>
        <v>114321836</v>
      </c>
      <c r="AV144" s="136">
        <f t="shared" si="188"/>
        <v>953043905</v>
      </c>
      <c r="AW144" s="108">
        <f t="shared" si="179"/>
        <v>0.25405580038028475</v>
      </c>
      <c r="AX144" s="137">
        <f t="shared" ref="AX144:BQ144" si="189">SUM(AX137:AX143)</f>
        <v>5592506999</v>
      </c>
      <c r="AY144" s="137">
        <f t="shared" si="189"/>
        <v>0</v>
      </c>
      <c r="AZ144" s="137">
        <f t="shared" si="189"/>
        <v>3430589595</v>
      </c>
      <c r="BA144" s="137">
        <f t="shared" si="189"/>
        <v>23193917</v>
      </c>
      <c r="BB144" s="137">
        <f t="shared" si="189"/>
        <v>282022195</v>
      </c>
      <c r="BC144" s="137">
        <f t="shared" si="189"/>
        <v>31509488</v>
      </c>
      <c r="BD144" s="137">
        <f t="shared" si="189"/>
        <v>54387</v>
      </c>
      <c r="BE144" s="137">
        <f t="shared" si="189"/>
        <v>30665828</v>
      </c>
      <c r="BF144" s="137">
        <f t="shared" si="189"/>
        <v>1940856</v>
      </c>
      <c r="BG144" s="137">
        <f t="shared" si="189"/>
        <v>3138802</v>
      </c>
      <c r="BH144" s="137">
        <f t="shared" si="189"/>
        <v>181084882</v>
      </c>
      <c r="BI144" s="137">
        <f t="shared" si="189"/>
        <v>119601181</v>
      </c>
      <c r="BJ144" s="137">
        <f t="shared" si="189"/>
        <v>256596661</v>
      </c>
      <c r="BK144" s="137">
        <f t="shared" si="189"/>
        <v>33084973</v>
      </c>
      <c r="BL144" s="137">
        <f t="shared" si="189"/>
        <v>150242598</v>
      </c>
      <c r="BM144" s="137">
        <f t="shared" si="189"/>
        <v>0</v>
      </c>
      <c r="BN144" s="137">
        <f t="shared" si="189"/>
        <v>0</v>
      </c>
      <c r="BO144" s="137">
        <f t="shared" si="189"/>
        <v>300856785</v>
      </c>
      <c r="BP144" s="137">
        <f t="shared" si="189"/>
        <v>90420000</v>
      </c>
      <c r="BQ144" s="137">
        <f t="shared" si="189"/>
        <v>657504851</v>
      </c>
      <c r="BR144" s="128">
        <f t="shared" si="181"/>
        <v>0.54136176239206446</v>
      </c>
      <c r="BS144" s="28">
        <f t="shared" ref="BS144:CM144" si="190">SUM(BS137:BS143)</f>
        <v>11916946752</v>
      </c>
      <c r="BT144" s="28">
        <f t="shared" si="190"/>
        <v>0</v>
      </c>
      <c r="BU144" s="28">
        <f t="shared" si="190"/>
        <v>0</v>
      </c>
      <c r="BV144" s="28">
        <f t="shared" si="190"/>
        <v>5218647323</v>
      </c>
      <c r="BW144" s="28">
        <f t="shared" si="190"/>
        <v>147809402</v>
      </c>
      <c r="BX144" s="28">
        <f t="shared" si="190"/>
        <v>1396708789</v>
      </c>
      <c r="BY144" s="28">
        <f t="shared" si="190"/>
        <v>106769230</v>
      </c>
      <c r="BZ144" s="28">
        <f t="shared" si="190"/>
        <v>0</v>
      </c>
      <c r="CA144" s="28">
        <f t="shared" si="190"/>
        <v>0</v>
      </c>
      <c r="CB144" s="28">
        <f t="shared" si="190"/>
        <v>0</v>
      </c>
      <c r="CC144" s="28">
        <f t="shared" si="190"/>
        <v>300000</v>
      </c>
      <c r="CD144" s="28">
        <f t="shared" si="190"/>
        <v>130112725</v>
      </c>
      <c r="CE144" s="28">
        <f t="shared" si="190"/>
        <v>1388135369</v>
      </c>
      <c r="CF144" s="28">
        <f t="shared" si="190"/>
        <v>867625319</v>
      </c>
      <c r="CG144" s="28">
        <f t="shared" si="190"/>
        <v>453711667</v>
      </c>
      <c r="CH144" s="28">
        <f t="shared" si="190"/>
        <v>845852866</v>
      </c>
      <c r="CI144" s="28">
        <f t="shared" si="190"/>
        <v>0</v>
      </c>
      <c r="CJ144" s="28">
        <f t="shared" si="190"/>
        <v>5867630</v>
      </c>
      <c r="CK144" s="28">
        <f t="shared" si="190"/>
        <v>429051059</v>
      </c>
      <c r="CL144" s="28">
        <f t="shared" si="190"/>
        <v>23350298</v>
      </c>
      <c r="CM144" s="28">
        <f t="shared" si="190"/>
        <v>903005075</v>
      </c>
      <c r="CN144" s="25">
        <f t="shared" si="183"/>
        <v>0.45863823760793554</v>
      </c>
      <c r="CO144" s="136">
        <f t="shared" ref="CO144:DH144" ca="1" si="191">SUM(CO137:CO143)</f>
        <v>10095961399</v>
      </c>
      <c r="CP144" s="136">
        <f t="shared" ca="1" si="191"/>
        <v>0</v>
      </c>
      <c r="CQ144" s="136">
        <f t="shared" si="191"/>
        <v>4852277680</v>
      </c>
      <c r="CR144" s="136">
        <f t="shared" si="191"/>
        <v>23193925</v>
      </c>
      <c r="CS144" s="136">
        <f t="shared" si="191"/>
        <v>503027861</v>
      </c>
      <c r="CT144" s="136">
        <f t="shared" si="191"/>
        <v>31603756</v>
      </c>
      <c r="CU144" s="136">
        <f t="shared" si="191"/>
        <v>54387</v>
      </c>
      <c r="CV144" s="136">
        <f t="shared" si="191"/>
        <v>30665828</v>
      </c>
      <c r="CW144" s="136">
        <f t="shared" si="191"/>
        <v>1940856</v>
      </c>
      <c r="CX144" s="136">
        <f t="shared" si="191"/>
        <v>3138802</v>
      </c>
      <c r="CY144" s="136">
        <f t="shared" si="191"/>
        <v>215828732</v>
      </c>
      <c r="CZ144" s="136">
        <f t="shared" si="191"/>
        <v>706447480</v>
      </c>
      <c r="DA144" s="136">
        <f t="shared" si="191"/>
        <v>274404304</v>
      </c>
      <c r="DB144" s="136">
        <f t="shared" si="191"/>
        <v>33084973</v>
      </c>
      <c r="DC144" s="136">
        <f t="shared" si="191"/>
        <v>214980902</v>
      </c>
      <c r="DD144" s="136">
        <f t="shared" si="191"/>
        <v>0</v>
      </c>
      <c r="DE144" s="136">
        <f t="shared" si="191"/>
        <v>45427753</v>
      </c>
      <c r="DF144" s="136">
        <f t="shared" si="191"/>
        <v>2270948941</v>
      </c>
      <c r="DG144" s="136">
        <f t="shared" si="191"/>
        <v>181391538</v>
      </c>
      <c r="DH144" s="136">
        <f t="shared" si="191"/>
        <v>707543681</v>
      </c>
      <c r="DJ144" s="29">
        <f t="shared" si="110"/>
        <v>22012908151</v>
      </c>
      <c r="DK144" s="29">
        <f t="shared" si="185"/>
        <v>22012908151</v>
      </c>
      <c r="DL144" s="29">
        <f t="shared" ca="1" si="186"/>
        <v>22012908151</v>
      </c>
    </row>
    <row r="145" spans="3:116" x14ac:dyDescent="0.25">
      <c r="C145" s="132"/>
      <c r="D145" s="121" t="s">
        <v>263</v>
      </c>
      <c r="E145" s="138">
        <v>301</v>
      </c>
      <c r="F145" s="122"/>
      <c r="G145" s="123">
        <f>SUMIF($E$4:$E$132,"301",$G$4:$G$132)</f>
        <v>2949123548</v>
      </c>
      <c r="H145" s="124">
        <f>SUMIF($E$4:$E$132,"301",$H$4:$H$132)</f>
        <v>200000000</v>
      </c>
      <c r="I145" s="124">
        <f>SUMIF($E$4:$E$132,"301",$I$4:$I$132)</f>
        <v>453168096</v>
      </c>
      <c r="J145" s="123">
        <f>SUMIF($E$4:$E$132,"301",$J$4:$J$132)</f>
        <v>0</v>
      </c>
      <c r="K145" s="122">
        <f>SUMIF($E$4:$E$132,"301",$K$4:$K$132)</f>
        <v>701280247</v>
      </c>
      <c r="L145" s="122">
        <f>SUMIF($E$4:$E$132,"301",$L$4:$L$132)</f>
        <v>0</v>
      </c>
      <c r="M145" s="122">
        <f>SUMIF($E$4:$E$132,"301",$M$4:$M$132)</f>
        <v>0</v>
      </c>
      <c r="N145" s="122">
        <f>SUMIF($E$4:$E$132,"301",$N$4:$N$132)</f>
        <v>0</v>
      </c>
      <c r="O145" s="122">
        <f>SUMIF($E$4:$E$132,"301",$O$4:$O$132)</f>
        <v>0</v>
      </c>
      <c r="P145" s="122">
        <f>SUMIF($E$4:$E$132,"301",$P$4:$P$132)</f>
        <v>0</v>
      </c>
      <c r="Q145" s="122">
        <f>SUMIF($E$4:$E$132,"301",$Q$4:$Q$132)</f>
        <v>0</v>
      </c>
      <c r="R145" s="122">
        <f>SUMIF($E$4:$E$132,"301",$R$4:$R$132)</f>
        <v>0</v>
      </c>
      <c r="S145" s="122">
        <f>SUMIF($E$4:$E$132,"301",$S$4:$S$132)</f>
        <v>0</v>
      </c>
      <c r="T145" s="122">
        <f>SUMIF($E$4:$E$132,"301",$T$4:$T$132)</f>
        <v>0</v>
      </c>
      <c r="U145" s="122">
        <f>SUMIF($E$4:$E$132,"301",$U$4:$U$132)</f>
        <v>245242997</v>
      </c>
      <c r="V145" s="122">
        <f>SUMIF($E$4:$E$124,"301",$V$4:$V$124)</f>
        <v>1262551657</v>
      </c>
      <c r="W145" s="122"/>
      <c r="X145" s="122">
        <f>SUMIF($E$4:$E$124,"301",$X$4:$X$124)</f>
        <v>0</v>
      </c>
      <c r="Y145" s="122">
        <f>SUMIF($E$4:$E$132,"301",$Y$4:$Y$132)</f>
        <v>0</v>
      </c>
      <c r="Z145" s="122">
        <f>SUMIF($E$4:$E$132,"301",$Z$4:$Z$132)</f>
        <v>86880551</v>
      </c>
      <c r="AA145" s="125">
        <f t="shared" si="177"/>
        <v>0.85205638017576879</v>
      </c>
      <c r="AB145" s="28">
        <f>SUM(AD145:AV145)</f>
        <v>2512819535</v>
      </c>
      <c r="AC145" s="123">
        <f>SUMIF($E$4:$E$132,"301",$AC$4:$AC$132)</f>
        <v>0</v>
      </c>
      <c r="AD145" s="123">
        <f>SUMIF($E$4:$E$132,"301",$AD$4:$AD$132)</f>
        <v>198408143</v>
      </c>
      <c r="AE145" s="123">
        <f>SUMIF($E$4:$E$132,"301",$AE$4:$AE$132)</f>
        <v>271768096</v>
      </c>
      <c r="AF145" s="123">
        <f>SUMIF($E$4:$E$132,"301",$AF$4:$AF$132)</f>
        <v>0</v>
      </c>
      <c r="AG145" s="123">
        <f>SUMIF($E$4:$E$132,"301",$AG$4:$AG$132)</f>
        <v>701280247</v>
      </c>
      <c r="AH145" s="123">
        <f>SUMIF($E$4:$E$132,"301",$AH$4:$AH$132)</f>
        <v>0</v>
      </c>
      <c r="AI145" s="123">
        <f>SUMIF($E$4:$E$132,"301",$AI$4:$AI$132)</f>
        <v>0</v>
      </c>
      <c r="AJ145" s="123">
        <f>SUMIF($E$4:$E$132,"301",$AJ$4:$AJ$132)</f>
        <v>0</v>
      </c>
      <c r="AK145" s="123">
        <f>SUMIF($E$4:$E$132,"301",$AK$4:$AK$132)</f>
        <v>0</v>
      </c>
      <c r="AL145" s="123">
        <f>SUMIF($E$4:$E$132,"301",$AL$4:$AL$132)</f>
        <v>0</v>
      </c>
      <c r="AM145" s="123">
        <f>SUMIF($E$4:$E$132,"301",$AM$4:$AM$132)</f>
        <v>0</v>
      </c>
      <c r="AN145" s="123">
        <f>SUMIF($E$4:$E$132,"301",$AN$4:$AN$132)</f>
        <v>0</v>
      </c>
      <c r="AO145" s="123">
        <f>SUMIF($E$4:$E$132,"301",$AO$4:$AO$132)</f>
        <v>0</v>
      </c>
      <c r="AP145" s="123">
        <f>SUMIF($E$4:$E$132,"301",$AP$4:$AP$132)</f>
        <v>0</v>
      </c>
      <c r="AQ145" s="123">
        <f>SUMIF($E$4:$E$132,"301",$AQ$4:$AQ$132)</f>
        <v>150327287</v>
      </c>
      <c r="AR145" s="123">
        <f>SUMIF($E$4:$E$132,"301",$AR$4:$AR$132)</f>
        <v>1158469451</v>
      </c>
      <c r="AS145" s="123">
        <f>SUMIF($E$4:$E$132,"301",$AS$4:$AS$132)</f>
        <v>0</v>
      </c>
      <c r="AT145" s="123">
        <f>SUMIF($E$4:$E$132,"301",$AT$4:$AT$132)</f>
        <v>0</v>
      </c>
      <c r="AU145" s="123">
        <f>SUMIF($E$4:$E$132,"301",$AU$4:$AU$132)</f>
        <v>0</v>
      </c>
      <c r="AV145" s="123">
        <f>SUMIF($E$4:$E$132,"301",$AV$4:$AV$132)</f>
        <v>32566311</v>
      </c>
      <c r="AW145" s="108">
        <f t="shared" si="179"/>
        <v>0.14794361982423121</v>
      </c>
      <c r="AX145" s="28">
        <f>SUM(AY145:BQ145)</f>
        <v>436304013</v>
      </c>
      <c r="AY145" s="126">
        <f>SUMIF($E$4:$E$132,"301",$AY$4:$AY$132)</f>
        <v>1591857</v>
      </c>
      <c r="AZ145" s="126">
        <f>SUMIF($E$4:$E$132,"301",$AZ$4:$AZ$132)</f>
        <v>181400000</v>
      </c>
      <c r="BA145" s="126">
        <f>SUMIF($E$4:$E$132,"301",$BA$4:$BA$132)</f>
        <v>0</v>
      </c>
      <c r="BB145" s="126">
        <f>SUMIF($E$4:$E$132,"301",$BB$4:$BB$132)</f>
        <v>0</v>
      </c>
      <c r="BC145" s="126">
        <f>SUMIF($E$4:$E$132,"301",$BC$4:$BC$132)</f>
        <v>0</v>
      </c>
      <c r="BD145" s="126">
        <f>SUMIF($E$4:$E$132,"301",$BD$4:$BD$132)</f>
        <v>0</v>
      </c>
      <c r="BE145" s="126">
        <f>SUMIF($E$4:$E$132,"301",$BE$4:$BE$132)</f>
        <v>0</v>
      </c>
      <c r="BF145" s="126">
        <f>SUMIF($E$4:$E$132,"301",$BF$4:$BF$132)</f>
        <v>0</v>
      </c>
      <c r="BG145" s="126">
        <f>SUMIF($E$4:$E$132,"301",$BG$4:$BG$132)</f>
        <v>0</v>
      </c>
      <c r="BH145" s="126">
        <f>SUMIF($E$4:$E$132,"301",$BH$4:$BH$132)</f>
        <v>0</v>
      </c>
      <c r="BI145" s="126">
        <f>SUMIF($E$4:$E$132,"301",$BI$4:$BI$132)</f>
        <v>0</v>
      </c>
      <c r="BJ145" s="126">
        <f>SUMIF($E$4:$E$132,"301",$BJ$4:$BJ$132)</f>
        <v>0</v>
      </c>
      <c r="BK145" s="126">
        <f>SUMIF($E$4:$E$132,"301",$BK$4:$BK$132)</f>
        <v>0</v>
      </c>
      <c r="BL145" s="126">
        <f>SUMIF($E$4:$E$132,"301",$BL$4:$BL$132)</f>
        <v>94915710</v>
      </c>
      <c r="BM145" s="126">
        <f>SUMIF($E$4:$E$132,"301",$BM$4:$BM$132)</f>
        <v>104082206</v>
      </c>
      <c r="BN145" s="126"/>
      <c r="BO145" s="126">
        <f>SUMIF($E$4:$E$132,"301",$BO$4:$BO$132)</f>
        <v>0</v>
      </c>
      <c r="BP145" s="126"/>
      <c r="BQ145" s="127">
        <f>SUMIF($E$4:$E$132,"301",$BQ$4:$BQ$132)</f>
        <v>54314240</v>
      </c>
      <c r="BR145" s="128">
        <f t="shared" si="181"/>
        <v>0.79096945924220063</v>
      </c>
      <c r="BS145" s="28">
        <f>SUM(BU145:CM145)</f>
        <v>2332666658</v>
      </c>
      <c r="BT145" s="123">
        <f>SUMIF($E$4:$E$132,"111",$BT$4:$BT$132)</f>
        <v>0</v>
      </c>
      <c r="BU145" s="123">
        <f>SUMIF($E$4:$E$132,"301",$BU$4:$BU$132)</f>
        <v>198408143</v>
      </c>
      <c r="BV145" s="123">
        <f>SUMIF($E$4:$E$132,"301",$BV$4:$BV$132)</f>
        <v>268168096</v>
      </c>
      <c r="BW145" s="123">
        <f>SUMIF($E$4:$E$132,"301",$BW$4:$BW$132)</f>
        <v>0</v>
      </c>
      <c r="BX145" s="123">
        <f>SUMIF($E$4:$E$132,"301",$BX$4:$BX$132)</f>
        <v>701280247</v>
      </c>
      <c r="BY145" s="123">
        <f>SUMIF($E$4:$E$132,"301",$BY$4:$BY$132)</f>
        <v>0</v>
      </c>
      <c r="BZ145" s="123">
        <f>SUMIF($E$4:$E$132,"301",$BZ$4:$BZ$132)</f>
        <v>0</v>
      </c>
      <c r="CA145" s="123">
        <f>SUMIF($E$4:$E$132,"301",$CA$4:$CA$132)</f>
        <v>0</v>
      </c>
      <c r="CB145" s="123">
        <f>SUMIF($E$4:$E$132,"301",$CB$4:$CB$132)</f>
        <v>0</v>
      </c>
      <c r="CC145" s="123">
        <f>SUMIF($E$4:$E$132,"301",$CC$4:$CC$132)</f>
        <v>0</v>
      </c>
      <c r="CD145" s="123">
        <f>SUMIF($E$4:$E$132,"301",$CD$4:$CD$132)</f>
        <v>0</v>
      </c>
      <c r="CE145" s="123">
        <f>SUMIF($E$4:$E$132,"301",$CE$4:$CE$132)</f>
        <v>0</v>
      </c>
      <c r="CF145" s="123">
        <f>SUMIF($E$4:$E$132,"301",$CF$4:$CF$132)</f>
        <v>0</v>
      </c>
      <c r="CG145" s="123">
        <f>SUMIF($E$4:$E$132,"301",$CG$4:$CG$132)</f>
        <v>0</v>
      </c>
      <c r="CH145" s="123">
        <f>SUMIF($E$4:$E$132,"301",$CH$4:$CH$132)</f>
        <v>89000967</v>
      </c>
      <c r="CI145" s="123">
        <f>SUMIF($E$4:$E$132,"301",$CI$4:$CI$132)</f>
        <v>1044337414</v>
      </c>
      <c r="CJ145" s="123">
        <f>SUMIF($E$4:$E$132,"301",$CJ$4:$CJ$132)</f>
        <v>0</v>
      </c>
      <c r="CK145" s="123">
        <f>SUMIF($E$4:$E$132,"301",$CK$4:$CK$132)</f>
        <v>0</v>
      </c>
      <c r="CL145" s="123">
        <f>SUMIF($E$4:$E$132,"301",$CL$4:$CL$132)</f>
        <v>0</v>
      </c>
      <c r="CM145" s="129">
        <f>SUMIF($E$4:$E$132,"301",$CM$4:$CM$132)</f>
        <v>31471791</v>
      </c>
      <c r="CN145" s="25">
        <f t="shared" si="183"/>
        <v>0.20903054075779937</v>
      </c>
      <c r="CO145" s="28">
        <f>SUM(CP145:DH145)</f>
        <v>616456890</v>
      </c>
      <c r="CP145" s="126">
        <f>SUMIF($E$4:$E$132,"301",$CP$4:$CP$132)</f>
        <v>1591857</v>
      </c>
      <c r="CQ145" s="126">
        <f>SUMIF($E$4:$E$132,"301",$CQ$4:$CQ$132)</f>
        <v>185000000</v>
      </c>
      <c r="CR145" s="126">
        <f>SUMIF($E$4:$E$132,"301",$CR$4:$CR$132)</f>
        <v>0</v>
      </c>
      <c r="CS145" s="126">
        <f>SUMIF($E$4:$E$132,"301",$CS$4:$CS$132)</f>
        <v>0</v>
      </c>
      <c r="CT145" s="126">
        <f>SUMIF($E$4:$E$132,"301",$CT$4:$CT$132)</f>
        <v>0</v>
      </c>
      <c r="CU145" s="126">
        <f>SUMIF($E$4:$E$132,"301",$CU$4:$CU$132)</f>
        <v>0</v>
      </c>
      <c r="CV145" s="130">
        <f>SUMIF($E$4:$E$132,"301",$CV$4:$CV$132)</f>
        <v>0</v>
      </c>
      <c r="CW145" s="130">
        <f>SUMIF($E$4:$E$132,"301",$CW$4:$CW$132)</f>
        <v>0</v>
      </c>
      <c r="CX145" s="130">
        <f>SUMIF($E$4:$E$132,"301",$CX$4:$CX$132)</f>
        <v>0</v>
      </c>
      <c r="CY145" s="130">
        <f>SUMIF($E$4:$E$132,"301",$CY$4:$CY$132)</f>
        <v>0</v>
      </c>
      <c r="CZ145" s="130">
        <f>SUMIF($E$4:$E$132,"301",$CZ$4:$CZ$132)</f>
        <v>0</v>
      </c>
      <c r="DA145" s="130">
        <f>SUMIF($E$4:$E$132,"301",$DA$4:$DA$132)</f>
        <v>0</v>
      </c>
      <c r="DB145" s="130">
        <f>SUMIF($E$4:$E$132,"301",$DB$4:$DB$132)</f>
        <v>0</v>
      </c>
      <c r="DC145" s="130">
        <f>SUMIF($E$4:$E$132,"301",$DC$4:$DC$132)</f>
        <v>156242030</v>
      </c>
      <c r="DD145" s="130">
        <f>SUMIF($E$4:$E$132,"301",$DD$4:$DD$132)</f>
        <v>218214243</v>
      </c>
      <c r="DE145" s="130">
        <f>SUMIF($E$4:$E$132,"301",$DE$4:$DE$132)</f>
        <v>0</v>
      </c>
      <c r="DF145" s="130">
        <f>SUMIF($E$4:$E$132,"301",$DF$4:$DF$132)</f>
        <v>0</v>
      </c>
      <c r="DG145" s="130">
        <f>SUMIF($E$4:$E$132,"301",$DG$4:$DG$132)</f>
        <v>0</v>
      </c>
      <c r="DH145" s="130">
        <f>SUMIF($E$4:$E$132,"301",$DH$4:$DH$132)</f>
        <v>55408760</v>
      </c>
      <c r="DJ145" s="29">
        <f t="shared" si="110"/>
        <v>2949123548</v>
      </c>
      <c r="DK145" s="29">
        <f t="shared" si="185"/>
        <v>2949123548</v>
      </c>
      <c r="DL145" s="29">
        <f t="shared" si="186"/>
        <v>2949123548</v>
      </c>
    </row>
    <row r="146" spans="3:116" ht="15.75" thickBot="1" x14ac:dyDescent="0.3">
      <c r="C146" s="258" t="s">
        <v>381</v>
      </c>
      <c r="D146" s="259"/>
      <c r="E146" s="139"/>
      <c r="F146" s="140"/>
      <c r="G146" s="141">
        <f t="shared" ref="G146:Z146" si="192">SUM(G144:G145)</f>
        <v>24962031699</v>
      </c>
      <c r="H146" s="141">
        <f t="shared" si="192"/>
        <v>200000000</v>
      </c>
      <c r="I146" s="141">
        <f t="shared" si="192"/>
        <v>10524093099</v>
      </c>
      <c r="J146" s="141">
        <f t="shared" si="192"/>
        <v>171003327</v>
      </c>
      <c r="K146" s="141">
        <f t="shared" si="192"/>
        <v>2601016897</v>
      </c>
      <c r="L146" s="141">
        <f t="shared" si="192"/>
        <v>138372986</v>
      </c>
      <c r="M146" s="141">
        <f t="shared" si="192"/>
        <v>54387</v>
      </c>
      <c r="N146" s="141">
        <f t="shared" si="192"/>
        <v>30665828</v>
      </c>
      <c r="O146" s="141">
        <f t="shared" si="192"/>
        <v>1940856</v>
      </c>
      <c r="P146" s="141">
        <f t="shared" si="192"/>
        <v>3438802</v>
      </c>
      <c r="Q146" s="141">
        <f t="shared" si="192"/>
        <v>345941457</v>
      </c>
      <c r="R146" s="141">
        <f t="shared" si="192"/>
        <v>2094582849</v>
      </c>
      <c r="S146" s="141">
        <f t="shared" si="192"/>
        <v>1142029623</v>
      </c>
      <c r="T146" s="142">
        <f t="shared" si="192"/>
        <v>486796640</v>
      </c>
      <c r="U146" s="141">
        <f t="shared" si="192"/>
        <v>1306076765</v>
      </c>
      <c r="V146" s="141">
        <f t="shared" si="192"/>
        <v>1262551657</v>
      </c>
      <c r="W146" s="141">
        <f t="shared" si="192"/>
        <v>51295383</v>
      </c>
      <c r="X146" s="141">
        <f t="shared" si="192"/>
        <v>2700000000</v>
      </c>
      <c r="Y146" s="141">
        <f t="shared" si="192"/>
        <v>204741836</v>
      </c>
      <c r="Z146" s="141">
        <f t="shared" si="192"/>
        <v>1697429307</v>
      </c>
      <c r="AA146" s="143">
        <f t="shared" si="177"/>
        <v>0.75848075650663005</v>
      </c>
      <c r="AB146" s="144">
        <f t="shared" ref="AB146:AV146" si="193">AB144+AB145</f>
        <v>18933220687</v>
      </c>
      <c r="AC146" s="144">
        <f t="shared" si="193"/>
        <v>0</v>
      </c>
      <c r="AD146" s="144">
        <f t="shared" si="193"/>
        <v>198408143</v>
      </c>
      <c r="AE146" s="144">
        <f t="shared" si="193"/>
        <v>6912103504</v>
      </c>
      <c r="AF146" s="144">
        <f t="shared" si="193"/>
        <v>147809410</v>
      </c>
      <c r="AG146" s="144">
        <f t="shared" si="193"/>
        <v>2318994702</v>
      </c>
      <c r="AH146" s="144">
        <f t="shared" si="193"/>
        <v>106863498</v>
      </c>
      <c r="AI146" s="144">
        <f t="shared" si="193"/>
        <v>0</v>
      </c>
      <c r="AJ146" s="144">
        <f t="shared" si="193"/>
        <v>0</v>
      </c>
      <c r="AK146" s="144">
        <f t="shared" si="193"/>
        <v>0</v>
      </c>
      <c r="AL146" s="144">
        <f t="shared" si="193"/>
        <v>300000</v>
      </c>
      <c r="AM146" s="144">
        <f t="shared" si="193"/>
        <v>164856575</v>
      </c>
      <c r="AN146" s="144">
        <f t="shared" si="193"/>
        <v>1974981668</v>
      </c>
      <c r="AO146" s="144">
        <f t="shared" si="193"/>
        <v>885432962</v>
      </c>
      <c r="AP146" s="144">
        <f t="shared" si="193"/>
        <v>453711667</v>
      </c>
      <c r="AQ146" s="144">
        <f t="shared" si="193"/>
        <v>1060918457</v>
      </c>
      <c r="AR146" s="144">
        <f t="shared" si="193"/>
        <v>1158469451</v>
      </c>
      <c r="AS146" s="144">
        <f t="shared" si="193"/>
        <v>51295383</v>
      </c>
      <c r="AT146" s="144">
        <f t="shared" si="193"/>
        <v>2399143215</v>
      </c>
      <c r="AU146" s="144">
        <f t="shared" si="193"/>
        <v>114321836</v>
      </c>
      <c r="AV146" s="144">
        <f t="shared" si="193"/>
        <v>985610216</v>
      </c>
      <c r="AW146" s="108">
        <f t="shared" si="179"/>
        <v>0.24151924349336995</v>
      </c>
      <c r="AX146" s="144">
        <f>AX144+AX145</f>
        <v>6028811012</v>
      </c>
      <c r="AY146" s="144">
        <f>AY144+AY145</f>
        <v>1591857</v>
      </c>
      <c r="AZ146" s="145">
        <f t="shared" ref="AZ146:BQ146" si="194">+AZ144+AZ145</f>
        <v>3611989595</v>
      </c>
      <c r="BA146" s="145">
        <f t="shared" si="194"/>
        <v>23193917</v>
      </c>
      <c r="BB146" s="145">
        <f t="shared" si="194"/>
        <v>282022195</v>
      </c>
      <c r="BC146" s="145">
        <f t="shared" si="194"/>
        <v>31509488</v>
      </c>
      <c r="BD146" s="145">
        <f t="shared" si="194"/>
        <v>54387</v>
      </c>
      <c r="BE146" s="145">
        <f t="shared" si="194"/>
        <v>30665828</v>
      </c>
      <c r="BF146" s="145">
        <f t="shared" si="194"/>
        <v>1940856</v>
      </c>
      <c r="BG146" s="145">
        <f t="shared" si="194"/>
        <v>3138802</v>
      </c>
      <c r="BH146" s="145">
        <f t="shared" si="194"/>
        <v>181084882</v>
      </c>
      <c r="BI146" s="145">
        <f t="shared" si="194"/>
        <v>119601181</v>
      </c>
      <c r="BJ146" s="145">
        <f t="shared" si="194"/>
        <v>256596661</v>
      </c>
      <c r="BK146" s="145">
        <f t="shared" si="194"/>
        <v>33084973</v>
      </c>
      <c r="BL146" s="145">
        <f t="shared" si="194"/>
        <v>245158308</v>
      </c>
      <c r="BM146" s="145">
        <f t="shared" si="194"/>
        <v>104082206</v>
      </c>
      <c r="BN146" s="145">
        <f t="shared" si="194"/>
        <v>0</v>
      </c>
      <c r="BO146" s="145">
        <f t="shared" si="194"/>
        <v>300856785</v>
      </c>
      <c r="BP146" s="145">
        <f t="shared" si="194"/>
        <v>90420000</v>
      </c>
      <c r="BQ146" s="145">
        <f t="shared" si="194"/>
        <v>711819091</v>
      </c>
      <c r="BR146" s="146">
        <f t="shared" si="181"/>
        <v>0.57085150687357122</v>
      </c>
      <c r="BS146" s="147">
        <f>+BS144+BS145</f>
        <v>14249613410</v>
      </c>
      <c r="BT146" s="145">
        <f>+BT144+BT145</f>
        <v>0</v>
      </c>
      <c r="BU146" s="145">
        <f>+BU144+BU145</f>
        <v>198408143</v>
      </c>
      <c r="BV146" s="145">
        <f>+BV144+BV145</f>
        <v>5486815419</v>
      </c>
      <c r="BW146" s="145">
        <f>+BW144+BW145</f>
        <v>147809402</v>
      </c>
      <c r="BX146" s="141">
        <f t="shared" ref="BX146:CM146" si="195">SUM(BX144:BX145)</f>
        <v>2097989036</v>
      </c>
      <c r="BY146" s="141">
        <f t="shared" si="195"/>
        <v>106769230</v>
      </c>
      <c r="BZ146" s="141">
        <f t="shared" si="195"/>
        <v>0</v>
      </c>
      <c r="CA146" s="141">
        <f t="shared" si="195"/>
        <v>0</v>
      </c>
      <c r="CB146" s="141">
        <f t="shared" si="195"/>
        <v>0</v>
      </c>
      <c r="CC146" s="141">
        <f t="shared" si="195"/>
        <v>300000</v>
      </c>
      <c r="CD146" s="141">
        <f t="shared" si="195"/>
        <v>130112725</v>
      </c>
      <c r="CE146" s="141">
        <f t="shared" si="195"/>
        <v>1388135369</v>
      </c>
      <c r="CF146" s="141">
        <f t="shared" si="195"/>
        <v>867625319</v>
      </c>
      <c r="CG146" s="141">
        <f t="shared" si="195"/>
        <v>453711667</v>
      </c>
      <c r="CH146" s="141">
        <f t="shared" si="195"/>
        <v>934853833</v>
      </c>
      <c r="CI146" s="141">
        <f t="shared" si="195"/>
        <v>1044337414</v>
      </c>
      <c r="CJ146" s="141">
        <f t="shared" si="195"/>
        <v>5867630</v>
      </c>
      <c r="CK146" s="141">
        <f t="shared" si="195"/>
        <v>429051059</v>
      </c>
      <c r="CL146" s="141">
        <f t="shared" si="195"/>
        <v>23350298</v>
      </c>
      <c r="CM146" s="148">
        <f t="shared" si="195"/>
        <v>934476866</v>
      </c>
      <c r="CN146" s="149">
        <f t="shared" si="183"/>
        <v>0.42914849312642878</v>
      </c>
      <c r="CO146" s="141">
        <f t="shared" ref="CO146:DH146" ca="1" si="196">SUM(CO144:CO145)</f>
        <v>10712418289</v>
      </c>
      <c r="CP146" s="148">
        <f t="shared" ca="1" si="196"/>
        <v>1591857</v>
      </c>
      <c r="CQ146" s="148">
        <f t="shared" si="196"/>
        <v>5037277680</v>
      </c>
      <c r="CR146" s="148">
        <f t="shared" si="196"/>
        <v>23193925</v>
      </c>
      <c r="CS146" s="141">
        <f t="shared" si="196"/>
        <v>503027861</v>
      </c>
      <c r="CT146" s="141">
        <f t="shared" si="196"/>
        <v>31603756</v>
      </c>
      <c r="CU146" s="141">
        <f t="shared" si="196"/>
        <v>54387</v>
      </c>
      <c r="CV146" s="150">
        <f t="shared" si="196"/>
        <v>30665828</v>
      </c>
      <c r="CW146" s="150">
        <f t="shared" si="196"/>
        <v>1940856</v>
      </c>
      <c r="CX146" s="150">
        <f t="shared" si="196"/>
        <v>3138802</v>
      </c>
      <c r="CY146" s="150">
        <f t="shared" si="196"/>
        <v>215828732</v>
      </c>
      <c r="CZ146" s="150">
        <f t="shared" si="196"/>
        <v>706447480</v>
      </c>
      <c r="DA146" s="150">
        <f t="shared" si="196"/>
        <v>274404304</v>
      </c>
      <c r="DB146" s="150">
        <f t="shared" si="196"/>
        <v>33084973</v>
      </c>
      <c r="DC146" s="150">
        <f t="shared" si="196"/>
        <v>371222932</v>
      </c>
      <c r="DD146" s="150">
        <f t="shared" si="196"/>
        <v>218214243</v>
      </c>
      <c r="DE146" s="150">
        <f t="shared" si="196"/>
        <v>45427753</v>
      </c>
      <c r="DF146" s="150">
        <f t="shared" si="196"/>
        <v>2270948941</v>
      </c>
      <c r="DG146" s="150">
        <f t="shared" si="196"/>
        <v>181391538</v>
      </c>
      <c r="DH146" s="150">
        <f t="shared" si="196"/>
        <v>762952441</v>
      </c>
      <c r="DJ146" s="29">
        <f t="shared" si="110"/>
        <v>24962031699</v>
      </c>
      <c r="DK146" s="29">
        <f t="shared" si="185"/>
        <v>24962031699</v>
      </c>
      <c r="DL146" s="29">
        <f t="shared" ca="1" si="186"/>
        <v>24962031699</v>
      </c>
    </row>
    <row r="147" spans="3:116" ht="15.75" thickTop="1" x14ac:dyDescent="0.25">
      <c r="G147" s="52">
        <f>+G135-G146</f>
        <v>0</v>
      </c>
      <c r="H147" s="52">
        <f t="shared" ref="H147:V147" si="197">+H135-H146</f>
        <v>0</v>
      </c>
      <c r="I147" s="52">
        <f t="shared" si="197"/>
        <v>0</v>
      </c>
      <c r="J147" s="52">
        <f t="shared" si="197"/>
        <v>0</v>
      </c>
      <c r="K147" s="52">
        <f t="shared" si="197"/>
        <v>0</v>
      </c>
      <c r="L147" s="52">
        <f t="shared" si="197"/>
        <v>0</v>
      </c>
      <c r="M147" s="52">
        <f t="shared" si="197"/>
        <v>0</v>
      </c>
      <c r="N147" s="52">
        <f t="shared" si="197"/>
        <v>0</v>
      </c>
      <c r="O147" s="52">
        <f t="shared" si="197"/>
        <v>0</v>
      </c>
      <c r="P147" s="52">
        <f t="shared" si="197"/>
        <v>0</v>
      </c>
      <c r="Q147" s="52">
        <f t="shared" si="197"/>
        <v>0</v>
      </c>
      <c r="R147" s="52">
        <f t="shared" si="197"/>
        <v>0</v>
      </c>
      <c r="S147" s="52">
        <f t="shared" si="197"/>
        <v>0</v>
      </c>
      <c r="T147" s="52">
        <f t="shared" si="197"/>
        <v>0</v>
      </c>
      <c r="U147" s="52">
        <f t="shared" si="197"/>
        <v>0</v>
      </c>
      <c r="V147" s="52">
        <f t="shared" si="197"/>
        <v>0</v>
      </c>
      <c r="W147" s="52"/>
      <c r="X147" s="52">
        <f>+X135-X146</f>
        <v>0</v>
      </c>
      <c r="Y147" s="52">
        <f>+Y135-Y146</f>
        <v>0</v>
      </c>
      <c r="Z147" s="52">
        <f>+Z135-Z146</f>
        <v>0</v>
      </c>
      <c r="AB147" s="52">
        <f t="shared" ref="AB147:AR147" si="198">+AB135-AB146</f>
        <v>0</v>
      </c>
      <c r="AC147" s="52">
        <f t="shared" si="198"/>
        <v>0</v>
      </c>
      <c r="AD147" s="52">
        <f t="shared" si="198"/>
        <v>0</v>
      </c>
      <c r="AE147" s="52">
        <f t="shared" si="198"/>
        <v>0</v>
      </c>
      <c r="AF147" s="52">
        <f t="shared" si="198"/>
        <v>0</v>
      </c>
      <c r="AG147" s="52">
        <f t="shared" si="198"/>
        <v>0</v>
      </c>
      <c r="AH147" s="52">
        <f t="shared" si="198"/>
        <v>0</v>
      </c>
      <c r="AI147" s="52">
        <f t="shared" si="198"/>
        <v>0</v>
      </c>
      <c r="AJ147" s="52">
        <f t="shared" si="198"/>
        <v>0</v>
      </c>
      <c r="AK147" s="52">
        <f t="shared" si="198"/>
        <v>0</v>
      </c>
      <c r="AL147" s="52">
        <f t="shared" si="198"/>
        <v>0</v>
      </c>
      <c r="AM147" s="52">
        <f t="shared" si="198"/>
        <v>0</v>
      </c>
      <c r="AN147" s="52">
        <f t="shared" si="198"/>
        <v>0</v>
      </c>
      <c r="AO147" s="52">
        <f t="shared" si="198"/>
        <v>0</v>
      </c>
      <c r="AP147" s="52">
        <f t="shared" si="198"/>
        <v>0</v>
      </c>
      <c r="AQ147" s="52">
        <f t="shared" si="198"/>
        <v>0</v>
      </c>
      <c r="AR147" s="52">
        <f t="shared" si="198"/>
        <v>0</v>
      </c>
      <c r="AS147" s="52"/>
      <c r="AT147" s="52">
        <f>+AT135-AT146</f>
        <v>0</v>
      </c>
      <c r="AU147" s="52">
        <f>+AU135-AU146</f>
        <v>0</v>
      </c>
      <c r="AV147" s="52">
        <f>+AV135-AV146</f>
        <v>0</v>
      </c>
      <c r="AX147" s="52">
        <f>+AX135-AX146</f>
        <v>0</v>
      </c>
      <c r="AY147" s="52">
        <f t="shared" ref="AY147:BM147" si="199">+AY135-AY146</f>
        <v>0</v>
      </c>
      <c r="AZ147" s="52">
        <f t="shared" si="199"/>
        <v>0</v>
      </c>
      <c r="BA147" s="52">
        <f t="shared" si="199"/>
        <v>0</v>
      </c>
      <c r="BB147" s="52">
        <f t="shared" si="199"/>
        <v>0</v>
      </c>
      <c r="BC147" s="52">
        <f t="shared" si="199"/>
        <v>0</v>
      </c>
      <c r="BD147" s="52">
        <f t="shared" si="199"/>
        <v>0</v>
      </c>
      <c r="BE147" s="52">
        <f t="shared" si="199"/>
        <v>0</v>
      </c>
      <c r="BF147" s="52">
        <f t="shared" si="199"/>
        <v>0</v>
      </c>
      <c r="BG147" s="52">
        <f t="shared" si="199"/>
        <v>0</v>
      </c>
      <c r="BH147" s="52">
        <f t="shared" si="199"/>
        <v>0</v>
      </c>
      <c r="BI147" s="52">
        <f t="shared" si="199"/>
        <v>0</v>
      </c>
      <c r="BJ147" s="52">
        <f t="shared" si="199"/>
        <v>0</v>
      </c>
      <c r="BK147" s="52">
        <f t="shared" si="199"/>
        <v>0</v>
      </c>
      <c r="BL147" s="52">
        <f t="shared" si="199"/>
        <v>0</v>
      </c>
      <c r="BM147" s="52">
        <f t="shared" si="199"/>
        <v>0</v>
      </c>
      <c r="BN147" s="52"/>
      <c r="BO147" s="52">
        <f>+BO135-BO146</f>
        <v>0</v>
      </c>
      <c r="BP147" s="52">
        <f>+BP135-BP146</f>
        <v>0</v>
      </c>
      <c r="BQ147" s="52">
        <f>+BQ135-BQ146</f>
        <v>0</v>
      </c>
      <c r="BS147" s="52">
        <f>+BS135-BS146</f>
        <v>0</v>
      </c>
      <c r="BT147" s="52"/>
      <c r="BU147" s="52">
        <f t="shared" ref="BU147:CM147" si="200">+BU135-BU146</f>
        <v>0</v>
      </c>
      <c r="BV147" s="52">
        <f t="shared" si="200"/>
        <v>0</v>
      </c>
      <c r="BW147" s="52">
        <f t="shared" si="200"/>
        <v>0</v>
      </c>
      <c r="BX147" s="52">
        <f t="shared" si="200"/>
        <v>0</v>
      </c>
      <c r="BY147" s="52">
        <f t="shared" si="200"/>
        <v>0</v>
      </c>
      <c r="BZ147" s="52">
        <f t="shared" si="200"/>
        <v>0</v>
      </c>
      <c r="CA147" s="52">
        <f t="shared" si="200"/>
        <v>0</v>
      </c>
      <c r="CB147" s="52">
        <f t="shared" si="200"/>
        <v>0</v>
      </c>
      <c r="CC147" s="52">
        <f t="shared" si="200"/>
        <v>0</v>
      </c>
      <c r="CD147" s="52">
        <f t="shared" si="200"/>
        <v>0</v>
      </c>
      <c r="CE147" s="52">
        <f t="shared" si="200"/>
        <v>0</v>
      </c>
      <c r="CF147" s="52">
        <f t="shared" si="200"/>
        <v>0</v>
      </c>
      <c r="CG147" s="52">
        <f t="shared" si="200"/>
        <v>0</v>
      </c>
      <c r="CH147" s="52">
        <f t="shared" si="200"/>
        <v>0</v>
      </c>
      <c r="CI147" s="52">
        <f t="shared" si="200"/>
        <v>0</v>
      </c>
      <c r="CJ147" s="52">
        <f t="shared" si="200"/>
        <v>0</v>
      </c>
      <c r="CK147" s="52">
        <f t="shared" si="200"/>
        <v>0</v>
      </c>
      <c r="CL147" s="52">
        <f t="shared" si="200"/>
        <v>0</v>
      </c>
      <c r="CM147" s="52">
        <f t="shared" si="200"/>
        <v>0</v>
      </c>
      <c r="CN147" s="52"/>
      <c r="CO147" s="52">
        <f ca="1">+CO135-CO146</f>
        <v>0</v>
      </c>
      <c r="CP147" s="52">
        <f t="shared" ref="CP147:DH147" ca="1" si="201">+CP135-CP146</f>
        <v>0</v>
      </c>
      <c r="CQ147" s="52">
        <f t="shared" si="201"/>
        <v>0</v>
      </c>
      <c r="CR147" s="52">
        <f t="shared" si="201"/>
        <v>0</v>
      </c>
      <c r="CS147" s="52">
        <f t="shared" si="201"/>
        <v>0</v>
      </c>
      <c r="CT147" s="52">
        <f t="shared" si="201"/>
        <v>0</v>
      </c>
      <c r="CU147" s="52">
        <f t="shared" si="201"/>
        <v>0</v>
      </c>
      <c r="CV147" s="52">
        <f t="shared" si="201"/>
        <v>0</v>
      </c>
      <c r="CW147" s="52">
        <f t="shared" si="201"/>
        <v>0</v>
      </c>
      <c r="CX147" s="52">
        <f t="shared" si="201"/>
        <v>0</v>
      </c>
      <c r="CY147" s="52">
        <f t="shared" si="201"/>
        <v>0</v>
      </c>
      <c r="CZ147" s="52">
        <f t="shared" si="201"/>
        <v>0</v>
      </c>
      <c r="DA147" s="52">
        <f t="shared" si="201"/>
        <v>0</v>
      </c>
      <c r="DB147" s="52">
        <f t="shared" si="201"/>
        <v>0</v>
      </c>
      <c r="DC147" s="52">
        <f t="shared" si="201"/>
        <v>0</v>
      </c>
      <c r="DD147" s="52">
        <f t="shared" si="201"/>
        <v>0</v>
      </c>
      <c r="DE147" s="52">
        <f t="shared" si="201"/>
        <v>0</v>
      </c>
      <c r="DF147" s="52">
        <f t="shared" si="201"/>
        <v>0</v>
      </c>
      <c r="DG147" s="52">
        <f t="shared" si="201"/>
        <v>0</v>
      </c>
      <c r="DH147" s="52">
        <f t="shared" si="201"/>
        <v>0</v>
      </c>
    </row>
    <row r="148" spans="3:116" x14ac:dyDescent="0.25">
      <c r="C148" s="151"/>
      <c r="D148" s="151"/>
      <c r="E148" s="152"/>
      <c r="F148" s="153"/>
      <c r="G148" s="154"/>
      <c r="AQ148" s="52"/>
    </row>
    <row r="149" spans="3:116" ht="15.75" x14ac:dyDescent="0.25">
      <c r="C149" s="151"/>
      <c r="D149" s="155" t="s">
        <v>382</v>
      </c>
      <c r="F149" s="52"/>
      <c r="G149" s="154">
        <v>24962031699</v>
      </c>
      <c r="AB149" s="52">
        <f>+AB146+AX146</f>
        <v>24962031699</v>
      </c>
      <c r="BS149" s="52">
        <f ca="1">+BS146+CO146</f>
        <v>24962031699</v>
      </c>
    </row>
    <row r="150" spans="3:116" x14ac:dyDescent="0.25">
      <c r="C150" s="151"/>
      <c r="D150" s="156"/>
      <c r="F150" s="52"/>
      <c r="G150" s="52"/>
    </row>
    <row r="151" spans="3:116" x14ac:dyDescent="0.25">
      <c r="D151" s="157"/>
      <c r="E151" s="152"/>
      <c r="F151" s="158"/>
      <c r="G151" s="154"/>
      <c r="X151" s="52"/>
      <c r="AB151" s="52"/>
      <c r="BP151" s="52"/>
    </row>
    <row r="152" spans="3:116" x14ac:dyDescent="0.25">
      <c r="D152" s="157"/>
      <c r="E152" s="152"/>
      <c r="F152" s="158"/>
      <c r="G152" s="154"/>
      <c r="BP152" s="52"/>
      <c r="BS152" s="52"/>
    </row>
    <row r="153" spans="3:116" x14ac:dyDescent="0.25">
      <c r="D153" s="157"/>
      <c r="E153" s="152"/>
      <c r="F153" s="158"/>
      <c r="G153" s="154"/>
    </row>
    <row r="154" spans="3:116" x14ac:dyDescent="0.25">
      <c r="D154" s="151"/>
      <c r="E154" s="152"/>
      <c r="F154" s="153"/>
      <c r="G154" s="154"/>
      <c r="H154" s="52"/>
      <c r="AB154" s="52">
        <f>+AB146-'[1]SEPTIEMBRE 2016'!$G$9</f>
        <v>0</v>
      </c>
    </row>
    <row r="155" spans="3:116" x14ac:dyDescent="0.25">
      <c r="D155" s="151"/>
      <c r="E155" s="152"/>
      <c r="F155" s="151"/>
      <c r="G155" s="154"/>
    </row>
    <row r="156" spans="3:116" x14ac:dyDescent="0.25">
      <c r="D156" s="151"/>
      <c r="E156" s="152"/>
      <c r="F156" s="151"/>
      <c r="G156" s="154"/>
    </row>
  </sheetData>
  <mergeCells count="60">
    <mergeCell ref="A127:A132"/>
    <mergeCell ref="B127:B129"/>
    <mergeCell ref="B133:D133"/>
    <mergeCell ref="C135:E135"/>
    <mergeCell ref="C146:D146"/>
    <mergeCell ref="A114:A125"/>
    <mergeCell ref="B114:B116"/>
    <mergeCell ref="B117:B125"/>
    <mergeCell ref="A73:A85"/>
    <mergeCell ref="B73:B79"/>
    <mergeCell ref="B80:B81"/>
    <mergeCell ref="B82:B85"/>
    <mergeCell ref="A86:A92"/>
    <mergeCell ref="B86:B87"/>
    <mergeCell ref="B88:B92"/>
    <mergeCell ref="B93:F93"/>
    <mergeCell ref="A95:A109"/>
    <mergeCell ref="B95:B102"/>
    <mergeCell ref="B106:B108"/>
    <mergeCell ref="B113:F113"/>
    <mergeCell ref="A61:A72"/>
    <mergeCell ref="B61:B63"/>
    <mergeCell ref="B65:B72"/>
    <mergeCell ref="B20:E20"/>
    <mergeCell ref="B21:B23"/>
    <mergeCell ref="B26:B34"/>
    <mergeCell ref="A35:A49"/>
    <mergeCell ref="B35:B38"/>
    <mergeCell ref="B39:B42"/>
    <mergeCell ref="B43:B45"/>
    <mergeCell ref="B46:B49"/>
    <mergeCell ref="A50:A59"/>
    <mergeCell ref="B50:B51"/>
    <mergeCell ref="B52:B53"/>
    <mergeCell ref="B54:B59"/>
    <mergeCell ref="B60:E60"/>
    <mergeCell ref="CO2:CX2"/>
    <mergeCell ref="CY2:DH2"/>
    <mergeCell ref="B4:B6"/>
    <mergeCell ref="B8:B12"/>
    <mergeCell ref="B14:B16"/>
    <mergeCell ref="BU2:CD2"/>
    <mergeCell ref="CF2:CM2"/>
    <mergeCell ref="B18:B19"/>
    <mergeCell ref="G2:Z2"/>
    <mergeCell ref="AB2:AV2"/>
    <mergeCell ref="AY2:BG2"/>
    <mergeCell ref="BH2:BQ2"/>
    <mergeCell ref="F2:F3"/>
    <mergeCell ref="A2:A3"/>
    <mergeCell ref="B2:B3"/>
    <mergeCell ref="C2:C3"/>
    <mergeCell ref="D2:D3"/>
    <mergeCell ref="E2:E3"/>
    <mergeCell ref="CO1:DH1"/>
    <mergeCell ref="C1:F1"/>
    <mergeCell ref="G1:Z1"/>
    <mergeCell ref="AB1:AV1"/>
    <mergeCell ref="AY1:BR1"/>
    <mergeCell ref="BS1:CM1"/>
  </mergeCells>
  <printOptions horizontalCentered="1" verticalCentered="1"/>
  <pageMargins left="0.35433070866141736" right="0.27559055118110237" top="0.9055118110236221" bottom="0.47244094488188981" header="0.59055118110236227" footer="0.27559055118110237"/>
  <pageSetup scale="60" orientation="landscape" r:id="rId1"/>
  <headerFooter>
    <oddHeader xml:space="preserve">&amp;C&amp;"-,Negrita"&amp;14UNIVERSIDAD SURCOLOMBIANA PLAN DE ACCIÓN  VIGENCIA  2016
 RESOLUCION  232 DEL 19 DE SEPTIEMBRE DE
 DE 2016
</oddHeader>
    <oddFooter>&amp;LUNIDAD DE PLANEAMIENTO ECONÓMICO Y ADMINISTRATIVO&amp;COFICINA DE PLANEACIÓN&amp;RPágina &amp;P de &amp;N</oddFooter>
  </headerFooter>
  <rowBreaks count="1" manualBreakCount="1">
    <brk id="2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J156"/>
  <sheetViews>
    <sheetView showGridLines="0" topLeftCell="C52" zoomScaleNormal="100" zoomScalePageLayoutView="50" workbookViewId="0">
      <selection activeCell="D14" sqref="D14"/>
    </sheetView>
  </sheetViews>
  <sheetFormatPr baseColWidth="10" defaultRowHeight="15" x14ac:dyDescent="0.25"/>
  <cols>
    <col min="1" max="1" width="4.85546875" hidden="1" customWidth="1"/>
    <col min="2" max="2" width="23" hidden="1" customWidth="1"/>
    <col min="3" max="3" width="9.42578125" customWidth="1"/>
    <col min="4" max="4" width="55.85546875" customWidth="1"/>
    <col min="5" max="5" width="6.28515625" customWidth="1"/>
    <col min="6" max="6" width="14.28515625" customWidth="1"/>
    <col min="7" max="7" width="16.140625" customWidth="1"/>
    <col min="8" max="8" width="11.42578125" hidden="1" customWidth="1"/>
    <col min="9" max="9" width="14.42578125" hidden="1" customWidth="1"/>
    <col min="10" max="10" width="12.5703125" hidden="1" customWidth="1"/>
    <col min="11" max="11" width="12.28515625" hidden="1" customWidth="1"/>
    <col min="12" max="12" width="11.5703125" hidden="1" customWidth="1"/>
    <col min="13" max="13" width="8.42578125" hidden="1" customWidth="1"/>
    <col min="14" max="14" width="10.140625" hidden="1" customWidth="1"/>
    <col min="15" max="15" width="10.7109375" hidden="1" customWidth="1"/>
    <col min="16" max="16" width="11" hidden="1" customWidth="1"/>
    <col min="17" max="17" width="11.140625" hidden="1" customWidth="1"/>
    <col min="18" max="18" width="12.7109375" hidden="1" customWidth="1"/>
    <col min="19" max="19" width="12.28515625" hidden="1" customWidth="1"/>
    <col min="20" max="20" width="11.140625" hidden="1" customWidth="1"/>
    <col min="21" max="22" width="12.7109375" hidden="1" customWidth="1"/>
    <col min="23" max="23" width="11.28515625" hidden="1" customWidth="1"/>
    <col min="24" max="24" width="14.5703125" hidden="1" customWidth="1"/>
    <col min="25" max="26" width="12.28515625" hidden="1" customWidth="1"/>
    <col min="27" max="27" width="8.5703125" customWidth="1"/>
    <col min="28" max="28" width="14.42578125" customWidth="1"/>
    <col min="29" max="29" width="14.42578125" hidden="1" customWidth="1"/>
    <col min="30" max="30" width="13.5703125" hidden="1" customWidth="1"/>
    <col min="31" max="31" width="14" hidden="1" customWidth="1"/>
    <col min="32" max="32" width="17.28515625" hidden="1" customWidth="1"/>
    <col min="33" max="33" width="16.140625" hidden="1" customWidth="1"/>
    <col min="34" max="35" width="15" hidden="1" customWidth="1"/>
    <col min="36" max="36" width="11.7109375" hidden="1" customWidth="1"/>
    <col min="37" max="37" width="13.28515625" hidden="1" customWidth="1"/>
    <col min="38" max="38" width="12.5703125" hidden="1" customWidth="1"/>
    <col min="39" max="39" width="14.42578125" hidden="1" customWidth="1"/>
    <col min="40" max="40" width="14.140625" hidden="1" customWidth="1"/>
    <col min="41" max="41" width="13.28515625" hidden="1" customWidth="1"/>
    <col min="42" max="42" width="13.5703125" hidden="1" customWidth="1"/>
    <col min="43" max="43" width="13.42578125" hidden="1" customWidth="1"/>
    <col min="44" max="44" width="17.7109375" hidden="1" customWidth="1"/>
    <col min="45" max="45" width="13.42578125" hidden="1" customWidth="1"/>
    <col min="46" max="46" width="14.85546875" hidden="1" customWidth="1"/>
    <col min="47" max="47" width="15.5703125" hidden="1" customWidth="1"/>
    <col min="48" max="48" width="13.85546875" hidden="1" customWidth="1"/>
    <col min="49" max="50" width="14.85546875" customWidth="1"/>
    <col min="51" max="51" width="14.5703125" hidden="1" customWidth="1"/>
    <col min="52" max="52" width="15.140625" hidden="1" customWidth="1"/>
    <col min="53" max="53" width="14.42578125" hidden="1" customWidth="1"/>
    <col min="54" max="54" width="11.28515625" hidden="1" customWidth="1"/>
    <col min="55" max="55" width="13.85546875" hidden="1" customWidth="1"/>
    <col min="56" max="56" width="10" hidden="1" customWidth="1"/>
    <col min="57" max="57" width="11" hidden="1" customWidth="1"/>
    <col min="58" max="59" width="9.28515625" hidden="1" customWidth="1"/>
    <col min="60" max="60" width="12.5703125" hidden="1" customWidth="1"/>
    <col min="61" max="61" width="13.5703125" hidden="1" customWidth="1"/>
    <col min="62" max="62" width="15.140625" hidden="1" customWidth="1"/>
    <col min="63" max="63" width="13.85546875" hidden="1" customWidth="1"/>
    <col min="64" max="64" width="15" hidden="1" customWidth="1"/>
    <col min="65" max="66" width="13.42578125" hidden="1" customWidth="1"/>
    <col min="67" max="67" width="13.5703125" hidden="1" customWidth="1"/>
    <col min="68" max="68" width="13.7109375" hidden="1" customWidth="1"/>
    <col min="69" max="69" width="14" hidden="1" customWidth="1"/>
    <col min="70" max="70" width="10.28515625" customWidth="1"/>
    <col min="71" max="71" width="14" customWidth="1"/>
    <col min="72" max="72" width="14" hidden="1" customWidth="1"/>
    <col min="73" max="73" width="12.28515625" hidden="1" customWidth="1"/>
    <col min="74" max="74" width="13.28515625" hidden="1" customWidth="1"/>
    <col min="75" max="75" width="14" hidden="1" customWidth="1"/>
    <col min="76" max="76" width="15.42578125" hidden="1" customWidth="1"/>
    <col min="77" max="77" width="15.28515625" hidden="1" customWidth="1"/>
    <col min="78" max="78" width="12.42578125" hidden="1" customWidth="1"/>
    <col min="79" max="79" width="11.7109375" hidden="1" customWidth="1"/>
    <col min="80" max="80" width="13.42578125" hidden="1" customWidth="1"/>
    <col min="81" max="81" width="11.42578125" hidden="1" customWidth="1"/>
    <col min="82" max="82" width="15.7109375" hidden="1" customWidth="1"/>
    <col min="83" max="83" width="16.28515625" hidden="1" customWidth="1"/>
    <col min="84" max="84" width="16.5703125" hidden="1" customWidth="1"/>
    <col min="85" max="85" width="17.140625" hidden="1" customWidth="1"/>
    <col min="86" max="86" width="13" hidden="1" customWidth="1"/>
    <col min="87" max="88" width="14.28515625" hidden="1" customWidth="1"/>
    <col min="89" max="89" width="13.7109375" hidden="1" customWidth="1"/>
    <col min="90" max="90" width="12.28515625" hidden="1" customWidth="1"/>
    <col min="91" max="91" width="13.42578125" hidden="1" customWidth="1"/>
    <col min="92" max="92" width="9.7109375" customWidth="1"/>
    <col min="93" max="93" width="15" customWidth="1"/>
    <col min="94" max="94" width="13.7109375" hidden="1" customWidth="1"/>
    <col min="95" max="95" width="14.42578125" hidden="1" customWidth="1"/>
    <col min="96" max="96" width="15.5703125" hidden="1" customWidth="1"/>
    <col min="97" max="99" width="13.5703125" hidden="1" customWidth="1"/>
    <col min="100" max="101" width="13.85546875" hidden="1" customWidth="1"/>
    <col min="102" max="102" width="11.42578125" hidden="1" customWidth="1"/>
    <col min="103" max="103" width="13.7109375" hidden="1" customWidth="1"/>
    <col min="104" max="104" width="13.85546875" hidden="1" customWidth="1"/>
    <col min="105" max="105" width="12.28515625" hidden="1" customWidth="1"/>
    <col min="106" max="106" width="13.85546875" hidden="1" customWidth="1"/>
    <col min="107" max="107" width="13.28515625" hidden="1" customWidth="1"/>
    <col min="108" max="109" width="14.42578125" hidden="1" customWidth="1"/>
    <col min="110" max="111" width="14.85546875" hidden="1" customWidth="1"/>
    <col min="112" max="112" width="13.5703125" hidden="1" customWidth="1"/>
    <col min="113" max="113" width="5.140625" customWidth="1"/>
  </cols>
  <sheetData>
    <row r="1" spans="1:112" ht="15" customHeight="1" x14ac:dyDescent="0.3">
      <c r="C1" s="203" t="s">
        <v>0</v>
      </c>
      <c r="D1" s="203"/>
      <c r="E1" s="203"/>
      <c r="F1" s="203"/>
      <c r="G1" s="272" t="s">
        <v>11</v>
      </c>
      <c r="H1" s="272" t="s">
        <v>11</v>
      </c>
      <c r="I1" s="272" t="s">
        <v>11</v>
      </c>
      <c r="J1" s="272" t="s">
        <v>11</v>
      </c>
      <c r="K1" s="272" t="s">
        <v>11</v>
      </c>
      <c r="L1" s="272" t="s">
        <v>11</v>
      </c>
      <c r="M1" s="272" t="s">
        <v>11</v>
      </c>
      <c r="N1" s="272" t="s">
        <v>11</v>
      </c>
      <c r="O1" s="272" t="s">
        <v>11</v>
      </c>
      <c r="P1" s="272" t="s">
        <v>11</v>
      </c>
      <c r="Q1" s="272" t="s">
        <v>11</v>
      </c>
      <c r="R1" s="272" t="s">
        <v>11</v>
      </c>
      <c r="S1" s="272" t="s">
        <v>11</v>
      </c>
      <c r="T1" s="272" t="s">
        <v>11</v>
      </c>
      <c r="U1" s="272" t="s">
        <v>11</v>
      </c>
      <c r="V1" s="272" t="s">
        <v>11</v>
      </c>
      <c r="W1" s="272" t="s">
        <v>11</v>
      </c>
      <c r="X1" s="272" t="s">
        <v>11</v>
      </c>
      <c r="Y1" s="272" t="s">
        <v>11</v>
      </c>
      <c r="Z1" s="272" t="s">
        <v>11</v>
      </c>
      <c r="AA1" s="264" t="s">
        <v>383</v>
      </c>
      <c r="AB1" s="265"/>
      <c r="AC1" s="264" t="s">
        <v>383</v>
      </c>
      <c r="AD1" s="265"/>
      <c r="AE1" s="264" t="s">
        <v>383</v>
      </c>
      <c r="AF1" s="265"/>
      <c r="AG1" s="264" t="s">
        <v>383</v>
      </c>
      <c r="AH1" s="265"/>
      <c r="AI1" s="264" t="s">
        <v>383</v>
      </c>
      <c r="AJ1" s="265"/>
      <c r="AK1" s="264" t="s">
        <v>383</v>
      </c>
      <c r="AL1" s="265"/>
      <c r="AM1" s="264" t="s">
        <v>383</v>
      </c>
      <c r="AN1" s="265"/>
      <c r="AO1" s="264" t="s">
        <v>383</v>
      </c>
      <c r="AP1" s="265"/>
      <c r="AQ1" s="264" t="s">
        <v>383</v>
      </c>
      <c r="AR1" s="265"/>
      <c r="AS1" s="264" t="s">
        <v>383</v>
      </c>
      <c r="AT1" s="265"/>
      <c r="AU1" s="264" t="s">
        <v>383</v>
      </c>
      <c r="AV1" s="265"/>
      <c r="AW1" s="260" t="s">
        <v>385</v>
      </c>
      <c r="AX1" s="261"/>
      <c r="AY1" s="161" t="s">
        <v>3</v>
      </c>
      <c r="AZ1" s="162"/>
      <c r="BA1" s="162"/>
      <c r="BB1" s="162"/>
      <c r="BC1" s="162"/>
      <c r="BD1" s="162"/>
      <c r="BE1" s="162"/>
      <c r="BF1" s="162"/>
      <c r="BG1" s="162"/>
      <c r="BH1" s="162"/>
      <c r="BI1" s="162"/>
      <c r="BJ1" s="162"/>
      <c r="BK1" s="162"/>
      <c r="BL1" s="162"/>
      <c r="BM1" s="162"/>
      <c r="BN1" s="162"/>
      <c r="BO1" s="162"/>
      <c r="BP1" s="162"/>
      <c r="BQ1" s="162"/>
      <c r="BR1" s="264" t="s">
        <v>386</v>
      </c>
      <c r="BS1" s="265"/>
      <c r="BT1" s="162"/>
      <c r="BU1" s="162"/>
      <c r="BV1" s="162"/>
      <c r="BW1" s="162"/>
      <c r="BX1" s="162"/>
      <c r="BY1" s="162"/>
      <c r="BZ1" s="162"/>
      <c r="CA1" s="162"/>
      <c r="CB1" s="162"/>
      <c r="CC1" s="162"/>
      <c r="CD1" s="162"/>
      <c r="CE1" s="162"/>
      <c r="CF1" s="162"/>
      <c r="CG1" s="162"/>
      <c r="CH1" s="162"/>
      <c r="CI1" s="162"/>
      <c r="CJ1" s="162"/>
      <c r="CK1" s="162"/>
      <c r="CL1" s="162"/>
      <c r="CM1" s="163"/>
      <c r="CN1" s="268" t="s">
        <v>387</v>
      </c>
      <c r="CO1" s="269"/>
      <c r="CP1" s="162"/>
      <c r="CQ1" s="162"/>
      <c r="CR1" s="162"/>
      <c r="CS1" s="162"/>
      <c r="CT1" s="162"/>
      <c r="CU1" s="162"/>
      <c r="CV1" s="162"/>
      <c r="CW1" s="162"/>
      <c r="CX1" s="162"/>
      <c r="CY1" s="162"/>
      <c r="CZ1" s="162"/>
      <c r="DA1" s="162"/>
      <c r="DB1" s="162"/>
      <c r="DC1" s="162"/>
      <c r="DD1" s="162"/>
      <c r="DE1" s="162"/>
      <c r="DF1" s="162"/>
      <c r="DG1" s="162"/>
      <c r="DH1" s="162"/>
    </row>
    <row r="2" spans="1:112" ht="24" customHeight="1" x14ac:dyDescent="0.25">
      <c r="A2" s="209" t="s">
        <v>5</v>
      </c>
      <c r="B2" s="209" t="s">
        <v>6</v>
      </c>
      <c r="C2" s="210" t="s">
        <v>7</v>
      </c>
      <c r="D2" s="209" t="s">
        <v>8</v>
      </c>
      <c r="E2" s="212" t="s">
        <v>9</v>
      </c>
      <c r="F2" s="225" t="s">
        <v>10</v>
      </c>
      <c r="G2" s="273"/>
      <c r="H2" s="273"/>
      <c r="I2" s="273"/>
      <c r="J2" s="273"/>
      <c r="K2" s="273"/>
      <c r="L2" s="273"/>
      <c r="M2" s="273"/>
      <c r="N2" s="273"/>
      <c r="O2" s="273"/>
      <c r="P2" s="273"/>
      <c r="Q2" s="273"/>
      <c r="R2" s="273"/>
      <c r="S2" s="273"/>
      <c r="T2" s="273"/>
      <c r="U2" s="273"/>
      <c r="V2" s="273"/>
      <c r="W2" s="273"/>
      <c r="X2" s="273"/>
      <c r="Y2" s="273"/>
      <c r="Z2" s="273"/>
      <c r="AA2" s="266"/>
      <c r="AB2" s="267"/>
      <c r="AC2" s="266"/>
      <c r="AD2" s="267"/>
      <c r="AE2" s="266"/>
      <c r="AF2" s="267"/>
      <c r="AG2" s="266"/>
      <c r="AH2" s="267"/>
      <c r="AI2" s="266"/>
      <c r="AJ2" s="267"/>
      <c r="AK2" s="266"/>
      <c r="AL2" s="267"/>
      <c r="AM2" s="266"/>
      <c r="AN2" s="267"/>
      <c r="AO2" s="266"/>
      <c r="AP2" s="267"/>
      <c r="AQ2" s="266"/>
      <c r="AR2" s="267"/>
      <c r="AS2" s="266"/>
      <c r="AT2" s="267"/>
      <c r="AU2" s="266"/>
      <c r="AV2" s="267"/>
      <c r="AW2" s="262"/>
      <c r="AX2" s="263"/>
      <c r="AY2" s="164" t="s">
        <v>13</v>
      </c>
      <c r="AZ2" s="165"/>
      <c r="BA2" s="165"/>
      <c r="BB2" s="165"/>
      <c r="BC2" s="165"/>
      <c r="BD2" s="165"/>
      <c r="BE2" s="165"/>
      <c r="BF2" s="165"/>
      <c r="BG2" s="166"/>
      <c r="BH2" s="164" t="s">
        <v>13</v>
      </c>
      <c r="BI2" s="165"/>
      <c r="BJ2" s="165"/>
      <c r="BK2" s="165"/>
      <c r="BL2" s="165"/>
      <c r="BM2" s="165"/>
      <c r="BN2" s="165"/>
      <c r="BO2" s="165"/>
      <c r="BP2" s="165"/>
      <c r="BQ2" s="166"/>
      <c r="BR2" s="266"/>
      <c r="BS2" s="267"/>
      <c r="BT2" s="9"/>
      <c r="BU2" s="167" t="s">
        <v>14</v>
      </c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67" t="s">
        <v>14</v>
      </c>
      <c r="CG2" s="10"/>
      <c r="CH2" s="10"/>
      <c r="CI2" s="10"/>
      <c r="CJ2" s="10"/>
      <c r="CK2" s="10"/>
      <c r="CL2" s="10"/>
      <c r="CM2" s="168"/>
      <c r="CN2" s="270"/>
      <c r="CO2" s="271"/>
      <c r="CP2" s="165"/>
      <c r="CQ2" s="165"/>
      <c r="CR2" s="165"/>
      <c r="CS2" s="165"/>
      <c r="CT2" s="165"/>
      <c r="CU2" s="165"/>
      <c r="CV2" s="165"/>
      <c r="CW2" s="165"/>
      <c r="CX2" s="165"/>
      <c r="CY2" s="165" t="s">
        <v>13</v>
      </c>
      <c r="CZ2" s="165"/>
      <c r="DA2" s="165"/>
      <c r="DB2" s="165"/>
      <c r="DC2" s="165"/>
      <c r="DD2" s="165"/>
      <c r="DE2" s="165"/>
      <c r="DF2" s="165"/>
      <c r="DG2" s="165"/>
      <c r="DH2" s="166"/>
    </row>
    <row r="3" spans="1:112" ht="39" customHeight="1" x14ac:dyDescent="0.25">
      <c r="A3" s="209"/>
      <c r="B3" s="209"/>
      <c r="C3" s="211"/>
      <c r="D3" s="209"/>
      <c r="E3" s="213"/>
      <c r="F3" s="226"/>
      <c r="G3" s="274"/>
      <c r="H3" s="274"/>
      <c r="I3" s="274"/>
      <c r="J3" s="274"/>
      <c r="K3" s="274"/>
      <c r="L3" s="274"/>
      <c r="M3" s="274"/>
      <c r="N3" s="274"/>
      <c r="O3" s="274"/>
      <c r="P3" s="274"/>
      <c r="Q3" s="274"/>
      <c r="R3" s="274"/>
      <c r="S3" s="274"/>
      <c r="T3" s="274"/>
      <c r="U3" s="274"/>
      <c r="V3" s="274"/>
      <c r="W3" s="274"/>
      <c r="X3" s="274"/>
      <c r="Y3" s="274"/>
      <c r="Z3" s="274"/>
      <c r="AA3" s="159" t="s">
        <v>35</v>
      </c>
      <c r="AB3" s="159" t="s">
        <v>384</v>
      </c>
      <c r="AC3" s="159" t="s">
        <v>35</v>
      </c>
      <c r="AD3" s="159" t="s">
        <v>384</v>
      </c>
      <c r="AE3" s="159" t="s">
        <v>35</v>
      </c>
      <c r="AF3" s="159" t="s">
        <v>384</v>
      </c>
      <c r="AG3" s="159" t="s">
        <v>35</v>
      </c>
      <c r="AH3" s="159" t="s">
        <v>384</v>
      </c>
      <c r="AI3" s="159" t="s">
        <v>35</v>
      </c>
      <c r="AJ3" s="159" t="s">
        <v>384</v>
      </c>
      <c r="AK3" s="159" t="s">
        <v>35</v>
      </c>
      <c r="AL3" s="159" t="s">
        <v>384</v>
      </c>
      <c r="AM3" s="159" t="s">
        <v>35</v>
      </c>
      <c r="AN3" s="159" t="s">
        <v>384</v>
      </c>
      <c r="AO3" s="159" t="s">
        <v>35</v>
      </c>
      <c r="AP3" s="159" t="s">
        <v>384</v>
      </c>
      <c r="AQ3" s="159" t="s">
        <v>35</v>
      </c>
      <c r="AR3" s="159" t="s">
        <v>384</v>
      </c>
      <c r="AS3" s="159" t="s">
        <v>35</v>
      </c>
      <c r="AT3" s="159" t="s">
        <v>384</v>
      </c>
      <c r="AU3" s="159" t="s">
        <v>35</v>
      </c>
      <c r="AV3" s="159" t="s">
        <v>384</v>
      </c>
      <c r="AW3" s="160" t="s">
        <v>35</v>
      </c>
      <c r="AX3" s="160" t="s">
        <v>384</v>
      </c>
      <c r="AY3" s="17" t="s">
        <v>16</v>
      </c>
      <c r="AZ3" s="17" t="s">
        <v>37</v>
      </c>
      <c r="BA3" s="17" t="s">
        <v>18</v>
      </c>
      <c r="BB3" s="17" t="s">
        <v>19</v>
      </c>
      <c r="BC3" s="17" t="s">
        <v>20</v>
      </c>
      <c r="BD3" s="17" t="s">
        <v>21</v>
      </c>
      <c r="BE3" s="17" t="s">
        <v>22</v>
      </c>
      <c r="BF3" s="17" t="s">
        <v>23</v>
      </c>
      <c r="BG3" s="17" t="s">
        <v>24</v>
      </c>
      <c r="BH3" s="17" t="s">
        <v>38</v>
      </c>
      <c r="BI3" s="17" t="s">
        <v>26</v>
      </c>
      <c r="BJ3" s="17" t="s">
        <v>27</v>
      </c>
      <c r="BK3" s="17" t="s">
        <v>28</v>
      </c>
      <c r="BL3" s="17" t="str">
        <f>+AQ3</f>
        <v>%</v>
      </c>
      <c r="BM3" s="17" t="s">
        <v>30</v>
      </c>
      <c r="BN3" s="17" t="s">
        <v>31</v>
      </c>
      <c r="BO3" s="17" t="s">
        <v>32</v>
      </c>
      <c r="BP3" s="17" t="s">
        <v>33</v>
      </c>
      <c r="BQ3" s="17" t="s">
        <v>34</v>
      </c>
      <c r="BR3" s="159" t="s">
        <v>35</v>
      </c>
      <c r="BS3" s="159" t="s">
        <v>384</v>
      </c>
      <c r="BT3" s="14" t="s">
        <v>36</v>
      </c>
      <c r="BU3" s="14" t="s">
        <v>16</v>
      </c>
      <c r="BV3" s="14" t="s">
        <v>37</v>
      </c>
      <c r="BW3" s="14" t="s">
        <v>18</v>
      </c>
      <c r="BX3" s="14" t="s">
        <v>19</v>
      </c>
      <c r="BY3" s="14" t="s">
        <v>20</v>
      </c>
      <c r="BZ3" s="14" t="s">
        <v>21</v>
      </c>
      <c r="CA3" s="14" t="s">
        <v>22</v>
      </c>
      <c r="CB3" s="14" t="s">
        <v>23</v>
      </c>
      <c r="CC3" s="14" t="s">
        <v>24</v>
      </c>
      <c r="CD3" s="14" t="s">
        <v>38</v>
      </c>
      <c r="CE3" s="14" t="s">
        <v>26</v>
      </c>
      <c r="CF3" s="14" t="s">
        <v>27</v>
      </c>
      <c r="CG3" s="14" t="s">
        <v>28</v>
      </c>
      <c r="CH3" s="14" t="str">
        <f>+BL3</f>
        <v>%</v>
      </c>
      <c r="CI3" s="14" t="s">
        <v>30</v>
      </c>
      <c r="CJ3" s="14" t="s">
        <v>31</v>
      </c>
      <c r="CK3" s="14" t="s">
        <v>32</v>
      </c>
      <c r="CL3" s="14" t="s">
        <v>33</v>
      </c>
      <c r="CM3" s="14" t="s">
        <v>34</v>
      </c>
      <c r="CN3" s="160" t="s">
        <v>35</v>
      </c>
      <c r="CO3" s="160" t="s">
        <v>384</v>
      </c>
      <c r="CP3" s="17" t="s">
        <v>16</v>
      </c>
      <c r="CQ3" s="17" t="s">
        <v>37</v>
      </c>
      <c r="CR3" s="17" t="s">
        <v>18</v>
      </c>
      <c r="CS3" s="17" t="s">
        <v>19</v>
      </c>
      <c r="CT3" s="17" t="s">
        <v>20</v>
      </c>
      <c r="CU3" s="17" t="s">
        <v>21</v>
      </c>
      <c r="CV3" s="17" t="s">
        <v>22</v>
      </c>
      <c r="CW3" s="17" t="s">
        <v>23</v>
      </c>
      <c r="CX3" s="17" t="s">
        <v>24</v>
      </c>
      <c r="CY3" s="17" t="s">
        <v>38</v>
      </c>
      <c r="CZ3" s="17" t="s">
        <v>26</v>
      </c>
      <c r="DA3" s="17" t="s">
        <v>27</v>
      </c>
      <c r="DB3" s="17" t="s">
        <v>28</v>
      </c>
      <c r="DC3" s="18" t="str">
        <f>+CH3</f>
        <v>%</v>
      </c>
      <c r="DD3" s="17" t="s">
        <v>30</v>
      </c>
      <c r="DE3" s="17" t="s">
        <v>31</v>
      </c>
      <c r="DF3" s="17" t="s">
        <v>32</v>
      </c>
      <c r="DG3" s="17" t="s">
        <v>33</v>
      </c>
      <c r="DH3" s="17" t="s">
        <v>34</v>
      </c>
    </row>
    <row r="4" spans="1:112" ht="48.75" customHeight="1" x14ac:dyDescent="0.25">
      <c r="A4" s="19" t="s">
        <v>39</v>
      </c>
      <c r="B4" s="214" t="s">
        <v>40</v>
      </c>
      <c r="C4" s="20" t="s">
        <v>41</v>
      </c>
      <c r="D4" s="21" t="s">
        <v>42</v>
      </c>
      <c r="E4" s="22">
        <v>510</v>
      </c>
      <c r="F4" s="23" t="s">
        <v>43</v>
      </c>
      <c r="G4" s="24">
        <f t="shared" ref="G4:G19" si="0">SUM(H4:Z4)</f>
        <v>25000000</v>
      </c>
      <c r="H4" s="24"/>
      <c r="I4" s="24"/>
      <c r="J4" s="24"/>
      <c r="K4" s="24">
        <v>25000000</v>
      </c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5">
        <f t="shared" ref="AA4:AA67" si="1">+AB4/G4</f>
        <v>1</v>
      </c>
      <c r="AB4" s="24">
        <f t="shared" ref="AB4:AB19" si="2">SUM(AC4:AV4)</f>
        <v>25000000</v>
      </c>
      <c r="AC4" s="26"/>
      <c r="AD4" s="27"/>
      <c r="AE4" s="27"/>
      <c r="AF4" s="27"/>
      <c r="AG4" s="24">
        <v>25000000</v>
      </c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5">
        <f t="shared" ref="AW4:AW69" si="3">1-AA4</f>
        <v>0</v>
      </c>
      <c r="AX4" s="24">
        <f t="shared" ref="AX4:AX19" si="4">SUM(AY4:BQ4)</f>
        <v>0</v>
      </c>
      <c r="AY4" s="24">
        <f t="shared" ref="AY4:AY9" si="5">+H4</f>
        <v>0</v>
      </c>
      <c r="AZ4" s="24">
        <f t="shared" ref="AZ4:BA16" si="6">I4-AE4</f>
        <v>0</v>
      </c>
      <c r="BA4" s="24">
        <f t="shared" si="6"/>
        <v>0</v>
      </c>
      <c r="BB4" s="24">
        <f t="shared" ref="BB4:BM16" si="7">+K4-AG4</f>
        <v>0</v>
      </c>
      <c r="BC4" s="24">
        <f t="shared" si="7"/>
        <v>0</v>
      </c>
      <c r="BD4" s="24">
        <f t="shared" si="7"/>
        <v>0</v>
      </c>
      <c r="BE4" s="24">
        <f t="shared" si="7"/>
        <v>0</v>
      </c>
      <c r="BF4" s="24">
        <f t="shared" si="7"/>
        <v>0</v>
      </c>
      <c r="BG4" s="24">
        <f t="shared" si="7"/>
        <v>0</v>
      </c>
      <c r="BH4" s="24">
        <f t="shared" si="7"/>
        <v>0</v>
      </c>
      <c r="BI4" s="24">
        <f t="shared" si="7"/>
        <v>0</v>
      </c>
      <c r="BJ4" s="24">
        <f t="shared" si="7"/>
        <v>0</v>
      </c>
      <c r="BK4" s="24">
        <f t="shared" si="7"/>
        <v>0</v>
      </c>
      <c r="BL4" s="24">
        <f t="shared" si="7"/>
        <v>0</v>
      </c>
      <c r="BM4" s="24">
        <f t="shared" si="7"/>
        <v>0</v>
      </c>
      <c r="BN4" s="24"/>
      <c r="BO4" s="24">
        <f>+X4-AT4</f>
        <v>0</v>
      </c>
      <c r="BP4" s="24">
        <f t="shared" ref="BP4:BP16" si="8">Y4-AU4</f>
        <v>0</v>
      </c>
      <c r="BQ4" s="24">
        <f t="shared" ref="BQ4:BQ16" si="9">+Z4-AV4</f>
        <v>0</v>
      </c>
      <c r="BR4" s="25">
        <f t="shared" ref="BR4:BR67" si="10">+BS4/G4</f>
        <v>0.93398736000000004</v>
      </c>
      <c r="BS4" s="24">
        <f t="shared" ref="BS4:BS19" si="11">SUM(BT4:CM4)</f>
        <v>23349684</v>
      </c>
      <c r="BT4" s="24"/>
      <c r="BU4" s="24"/>
      <c r="BV4" s="24"/>
      <c r="BW4" s="24"/>
      <c r="BX4" s="24">
        <f>+'[1]SEPTIEMBRE 2016'!$H$2606</f>
        <v>23349684</v>
      </c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5">
        <f t="shared" ref="CN4:CN59" si="12">1-BR4</f>
        <v>6.6012639999999956E-2</v>
      </c>
      <c r="CO4" s="24">
        <f t="shared" ref="CO4:CO19" si="13">SUM(CP4:DH4)</f>
        <v>1650316</v>
      </c>
      <c r="CP4" s="24">
        <f t="shared" ref="CP4:CU19" si="14">H4-BU4</f>
        <v>0</v>
      </c>
      <c r="CQ4" s="24">
        <f t="shared" si="14"/>
        <v>0</v>
      </c>
      <c r="CR4" s="24">
        <f t="shared" si="14"/>
        <v>0</v>
      </c>
      <c r="CS4" s="24">
        <f t="shared" si="14"/>
        <v>1650316</v>
      </c>
      <c r="CT4" s="24">
        <f t="shared" si="14"/>
        <v>0</v>
      </c>
      <c r="CU4" s="24">
        <f t="shared" si="14"/>
        <v>0</v>
      </c>
      <c r="CV4" s="24">
        <f t="shared" ref="CV4:CX16" si="15">+N4-CA4</f>
        <v>0</v>
      </c>
      <c r="CW4" s="24">
        <f t="shared" si="15"/>
        <v>0</v>
      </c>
      <c r="CX4" s="24">
        <f t="shared" si="15"/>
        <v>0</v>
      </c>
      <c r="CY4" s="24">
        <f t="shared" ref="CY4:DA19" si="16">Q4-CD4</f>
        <v>0</v>
      </c>
      <c r="CZ4" s="24">
        <f t="shared" si="16"/>
        <v>0</v>
      </c>
      <c r="DA4" s="24">
        <f t="shared" si="16"/>
        <v>0</v>
      </c>
      <c r="DB4" s="24">
        <f t="shared" ref="DB4:DD16" si="17">+T4-CG4</f>
        <v>0</v>
      </c>
      <c r="DC4" s="24">
        <f t="shared" si="17"/>
        <v>0</v>
      </c>
      <c r="DD4" s="24">
        <f t="shared" si="17"/>
        <v>0</v>
      </c>
      <c r="DE4" s="24"/>
      <c r="DF4" s="24">
        <f t="shared" ref="DF4:DH16" si="18">+X4-CK4</f>
        <v>0</v>
      </c>
      <c r="DG4" s="24">
        <f t="shared" si="18"/>
        <v>0</v>
      </c>
      <c r="DH4" s="24">
        <f t="shared" si="18"/>
        <v>0</v>
      </c>
    </row>
    <row r="5" spans="1:112" ht="51.75" customHeight="1" x14ac:dyDescent="0.25">
      <c r="A5" s="30"/>
      <c r="B5" s="227"/>
      <c r="C5" s="20" t="s">
        <v>44</v>
      </c>
      <c r="D5" s="21" t="s">
        <v>45</v>
      </c>
      <c r="E5" s="22">
        <v>510</v>
      </c>
      <c r="F5" s="23" t="s">
        <v>46</v>
      </c>
      <c r="G5" s="24">
        <f t="shared" si="0"/>
        <v>74800000</v>
      </c>
      <c r="H5" s="24"/>
      <c r="I5" s="24">
        <f>18000000-18000000</f>
        <v>0</v>
      </c>
      <c r="J5" s="24"/>
      <c r="K5" s="24">
        <f>36000000+18000000</f>
        <v>54000000</v>
      </c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>
        <f>5000000+1800000-1000000+3000000+12000000</f>
        <v>20800000</v>
      </c>
      <c r="AA5" s="25">
        <f t="shared" si="1"/>
        <v>0.61900487967914442</v>
      </c>
      <c r="AB5" s="24">
        <f t="shared" si="2"/>
        <v>46301565</v>
      </c>
      <c r="AC5" s="24"/>
      <c r="AD5" s="24"/>
      <c r="AE5" s="24"/>
      <c r="AF5" s="24"/>
      <c r="AG5" s="24">
        <f>+'[1]SEPTIEMBRE 2016'!$O$2627</f>
        <v>40500000</v>
      </c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>
        <f>+'[1]SEPTIEMBRE 2016'!$AG$2627</f>
        <v>5801565</v>
      </c>
      <c r="AW5" s="25">
        <f t="shared" si="3"/>
        <v>0.38099512032085558</v>
      </c>
      <c r="AX5" s="24">
        <f t="shared" si="4"/>
        <v>28498435</v>
      </c>
      <c r="AY5" s="24">
        <f t="shared" si="5"/>
        <v>0</v>
      </c>
      <c r="AZ5" s="24">
        <f t="shared" si="6"/>
        <v>0</v>
      </c>
      <c r="BA5" s="24">
        <f t="shared" si="6"/>
        <v>0</v>
      </c>
      <c r="BB5" s="24">
        <f t="shared" si="7"/>
        <v>13500000</v>
      </c>
      <c r="BC5" s="24">
        <f t="shared" si="7"/>
        <v>0</v>
      </c>
      <c r="BD5" s="24">
        <f t="shared" si="7"/>
        <v>0</v>
      </c>
      <c r="BE5" s="24">
        <f t="shared" si="7"/>
        <v>0</v>
      </c>
      <c r="BF5" s="24">
        <f t="shared" si="7"/>
        <v>0</v>
      </c>
      <c r="BG5" s="24">
        <f t="shared" si="7"/>
        <v>0</v>
      </c>
      <c r="BH5" s="24">
        <f t="shared" si="7"/>
        <v>0</v>
      </c>
      <c r="BI5" s="24">
        <f t="shared" si="7"/>
        <v>0</v>
      </c>
      <c r="BJ5" s="24">
        <f t="shared" si="7"/>
        <v>0</v>
      </c>
      <c r="BK5" s="24">
        <f t="shared" si="7"/>
        <v>0</v>
      </c>
      <c r="BL5" s="24">
        <f t="shared" si="7"/>
        <v>0</v>
      </c>
      <c r="BM5" s="24">
        <f t="shared" si="7"/>
        <v>0</v>
      </c>
      <c r="BN5" s="24"/>
      <c r="BO5" s="24"/>
      <c r="BP5" s="24">
        <f t="shared" si="8"/>
        <v>0</v>
      </c>
      <c r="BQ5" s="24">
        <f t="shared" si="9"/>
        <v>14998435</v>
      </c>
      <c r="BR5" s="25">
        <f t="shared" si="10"/>
        <v>0.55882350267379677</v>
      </c>
      <c r="BS5" s="24">
        <f t="shared" si="11"/>
        <v>41799998</v>
      </c>
      <c r="BT5" s="24"/>
      <c r="BU5" s="24"/>
      <c r="BV5" s="24"/>
      <c r="BW5" s="24"/>
      <c r="BX5" s="24">
        <f>+'[1]SEPTIEMBRE 2016'!$H$2628+'[1]SEPTIEMBRE 2016'!$H$2634</f>
        <v>35999998</v>
      </c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>
        <f>+'[1]SEPTIEMBRE 2016'!$H$2625-BX5</f>
        <v>5800000</v>
      </c>
      <c r="CN5" s="25">
        <f t="shared" si="12"/>
        <v>0.44117649732620323</v>
      </c>
      <c r="CO5" s="24">
        <f t="shared" si="13"/>
        <v>33000002</v>
      </c>
      <c r="CP5" s="24">
        <f t="shared" si="14"/>
        <v>0</v>
      </c>
      <c r="CQ5" s="24">
        <f t="shared" si="14"/>
        <v>0</v>
      </c>
      <c r="CR5" s="24">
        <f t="shared" si="14"/>
        <v>0</v>
      </c>
      <c r="CS5" s="24">
        <f t="shared" si="14"/>
        <v>18000002</v>
      </c>
      <c r="CT5" s="24">
        <f t="shared" si="14"/>
        <v>0</v>
      </c>
      <c r="CU5" s="24">
        <f t="shared" si="14"/>
        <v>0</v>
      </c>
      <c r="CV5" s="24">
        <f t="shared" si="15"/>
        <v>0</v>
      </c>
      <c r="CW5" s="24">
        <f t="shared" si="15"/>
        <v>0</v>
      </c>
      <c r="CX5" s="24">
        <f t="shared" si="15"/>
        <v>0</v>
      </c>
      <c r="CY5" s="24">
        <f t="shared" si="16"/>
        <v>0</v>
      </c>
      <c r="CZ5" s="24">
        <f t="shared" si="16"/>
        <v>0</v>
      </c>
      <c r="DA5" s="24">
        <f t="shared" si="16"/>
        <v>0</v>
      </c>
      <c r="DB5" s="24">
        <f t="shared" si="17"/>
        <v>0</v>
      </c>
      <c r="DC5" s="24">
        <f t="shared" si="17"/>
        <v>0</v>
      </c>
      <c r="DD5" s="24">
        <f t="shared" si="17"/>
        <v>0</v>
      </c>
      <c r="DE5" s="24"/>
      <c r="DF5" s="24">
        <f t="shared" si="18"/>
        <v>0</v>
      </c>
      <c r="DG5" s="24">
        <f t="shared" si="18"/>
        <v>0</v>
      </c>
      <c r="DH5" s="24">
        <f t="shared" si="18"/>
        <v>15000000</v>
      </c>
    </row>
    <row r="6" spans="1:112" ht="32.25" customHeight="1" x14ac:dyDescent="0.25">
      <c r="A6" s="30"/>
      <c r="B6" s="215"/>
      <c r="C6" s="20" t="s">
        <v>47</v>
      </c>
      <c r="D6" s="21" t="s">
        <v>48</v>
      </c>
      <c r="E6" s="64">
        <v>510</v>
      </c>
      <c r="F6" s="23" t="s">
        <v>43</v>
      </c>
      <c r="G6" s="24">
        <f t="shared" si="0"/>
        <v>21000000</v>
      </c>
      <c r="H6" s="24"/>
      <c r="I6" s="24">
        <f>11000000-11000000</f>
        <v>0</v>
      </c>
      <c r="J6" s="24"/>
      <c r="K6" s="24">
        <f>10000000+11000000</f>
        <v>21000000</v>
      </c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5">
        <f t="shared" si="1"/>
        <v>0.94521214285714283</v>
      </c>
      <c r="AB6" s="24">
        <f t="shared" si="2"/>
        <v>19849455</v>
      </c>
      <c r="AC6" s="24"/>
      <c r="AD6" s="24"/>
      <c r="AE6" s="24"/>
      <c r="AF6" s="24"/>
      <c r="AG6" s="24">
        <f>+'[1]SEPTIEMBRE 2016'!$O$2648</f>
        <v>19849455</v>
      </c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5">
        <f t="shared" si="3"/>
        <v>5.4787857142857166E-2</v>
      </c>
      <c r="AX6" s="24">
        <f t="shared" si="4"/>
        <v>1150545</v>
      </c>
      <c r="AY6" s="24">
        <f t="shared" si="5"/>
        <v>0</v>
      </c>
      <c r="AZ6" s="24">
        <f t="shared" si="6"/>
        <v>0</v>
      </c>
      <c r="BA6" s="24">
        <f t="shared" si="6"/>
        <v>0</v>
      </c>
      <c r="BB6" s="24">
        <f t="shared" si="7"/>
        <v>1150545</v>
      </c>
      <c r="BC6" s="24">
        <f t="shared" si="7"/>
        <v>0</v>
      </c>
      <c r="BD6" s="24">
        <f t="shared" si="7"/>
        <v>0</v>
      </c>
      <c r="BE6" s="24">
        <f t="shared" si="7"/>
        <v>0</v>
      </c>
      <c r="BF6" s="24">
        <f t="shared" si="7"/>
        <v>0</v>
      </c>
      <c r="BG6" s="24">
        <f t="shared" si="7"/>
        <v>0</v>
      </c>
      <c r="BH6" s="24">
        <f t="shared" si="7"/>
        <v>0</v>
      </c>
      <c r="BI6" s="24">
        <f t="shared" si="7"/>
        <v>0</v>
      </c>
      <c r="BJ6" s="24">
        <f t="shared" si="7"/>
        <v>0</v>
      </c>
      <c r="BK6" s="24">
        <f t="shared" si="7"/>
        <v>0</v>
      </c>
      <c r="BL6" s="24">
        <f t="shared" si="7"/>
        <v>0</v>
      </c>
      <c r="BM6" s="24">
        <f t="shared" si="7"/>
        <v>0</v>
      </c>
      <c r="BN6" s="24"/>
      <c r="BO6" s="24"/>
      <c r="BP6" s="24">
        <f t="shared" si="8"/>
        <v>0</v>
      </c>
      <c r="BQ6" s="24">
        <f t="shared" si="9"/>
        <v>0</v>
      </c>
      <c r="BR6" s="25">
        <f t="shared" si="10"/>
        <v>0.87187880952380947</v>
      </c>
      <c r="BS6" s="24">
        <f t="shared" si="11"/>
        <v>18309455</v>
      </c>
      <c r="BT6" s="24"/>
      <c r="BU6" s="24"/>
      <c r="BV6" s="24"/>
      <c r="BW6" s="24"/>
      <c r="BX6" s="24">
        <f>+'[1]SEPTIEMBRE 2016'!$H$2646</f>
        <v>18309455</v>
      </c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/>
      <c r="CJ6" s="24"/>
      <c r="CK6" s="24"/>
      <c r="CL6" s="24"/>
      <c r="CM6" s="24"/>
      <c r="CN6" s="25">
        <f t="shared" si="12"/>
        <v>0.12812119047619053</v>
      </c>
      <c r="CO6" s="24">
        <f t="shared" si="13"/>
        <v>2690545</v>
      </c>
      <c r="CP6" s="24">
        <f t="shared" si="14"/>
        <v>0</v>
      </c>
      <c r="CQ6" s="24">
        <f t="shared" si="14"/>
        <v>0</v>
      </c>
      <c r="CR6" s="24">
        <f t="shared" si="14"/>
        <v>0</v>
      </c>
      <c r="CS6" s="24">
        <f t="shared" si="14"/>
        <v>2690545</v>
      </c>
      <c r="CT6" s="24">
        <f t="shared" si="14"/>
        <v>0</v>
      </c>
      <c r="CU6" s="24">
        <f t="shared" si="14"/>
        <v>0</v>
      </c>
      <c r="CV6" s="24">
        <f t="shared" si="15"/>
        <v>0</v>
      </c>
      <c r="CW6" s="24">
        <f t="shared" si="15"/>
        <v>0</v>
      </c>
      <c r="CX6" s="24">
        <f t="shared" si="15"/>
        <v>0</v>
      </c>
      <c r="CY6" s="24">
        <f t="shared" si="16"/>
        <v>0</v>
      </c>
      <c r="CZ6" s="24">
        <f t="shared" si="16"/>
        <v>0</v>
      </c>
      <c r="DA6" s="24">
        <f t="shared" si="16"/>
        <v>0</v>
      </c>
      <c r="DB6" s="24">
        <f t="shared" si="17"/>
        <v>0</v>
      </c>
      <c r="DC6" s="24">
        <f t="shared" si="17"/>
        <v>0</v>
      </c>
      <c r="DD6" s="24">
        <f t="shared" si="17"/>
        <v>0</v>
      </c>
      <c r="DE6" s="24"/>
      <c r="DF6" s="24">
        <f t="shared" si="18"/>
        <v>0</v>
      </c>
      <c r="DG6" s="24">
        <f t="shared" si="18"/>
        <v>0</v>
      </c>
      <c r="DH6" s="24">
        <f t="shared" si="18"/>
        <v>0</v>
      </c>
    </row>
    <row r="7" spans="1:112" ht="54" customHeight="1" x14ac:dyDescent="0.25">
      <c r="A7" s="30"/>
      <c r="B7" s="32" t="s">
        <v>49</v>
      </c>
      <c r="C7" s="20" t="s">
        <v>50</v>
      </c>
      <c r="D7" s="21" t="s">
        <v>51</v>
      </c>
      <c r="E7" s="22">
        <v>510</v>
      </c>
      <c r="F7" s="23" t="s">
        <v>52</v>
      </c>
      <c r="G7" s="24">
        <f t="shared" si="0"/>
        <v>21876315</v>
      </c>
      <c r="H7" s="24"/>
      <c r="I7" s="24">
        <f>21000000-21000000</f>
        <v>0</v>
      </c>
      <c r="J7" s="24"/>
      <c r="K7" s="24">
        <f>21000000-21000000</f>
        <v>0</v>
      </c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>
        <f>12576315+12300000-3000000</f>
        <v>21876315</v>
      </c>
      <c r="AA7" s="25">
        <f t="shared" si="1"/>
        <v>0.63430769761726324</v>
      </c>
      <c r="AB7" s="24">
        <f t="shared" si="2"/>
        <v>13876315</v>
      </c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>
        <f>+'[1]SEPTIEMBRE 2016'!$AG$2660</f>
        <v>13876315</v>
      </c>
      <c r="AW7" s="25">
        <f t="shared" si="3"/>
        <v>0.36569230238273676</v>
      </c>
      <c r="AX7" s="24">
        <f t="shared" si="4"/>
        <v>8000000</v>
      </c>
      <c r="AY7" s="24">
        <f t="shared" si="5"/>
        <v>0</v>
      </c>
      <c r="AZ7" s="24">
        <f t="shared" si="6"/>
        <v>0</v>
      </c>
      <c r="BA7" s="24">
        <f t="shared" si="6"/>
        <v>0</v>
      </c>
      <c r="BB7" s="24">
        <f t="shared" si="7"/>
        <v>0</v>
      </c>
      <c r="BC7" s="24">
        <f t="shared" si="7"/>
        <v>0</v>
      </c>
      <c r="BD7" s="24">
        <f t="shared" si="7"/>
        <v>0</v>
      </c>
      <c r="BE7" s="24">
        <f t="shared" si="7"/>
        <v>0</v>
      </c>
      <c r="BF7" s="24">
        <f t="shared" si="7"/>
        <v>0</v>
      </c>
      <c r="BG7" s="24">
        <f t="shared" si="7"/>
        <v>0</v>
      </c>
      <c r="BH7" s="24">
        <f t="shared" si="7"/>
        <v>0</v>
      </c>
      <c r="BI7" s="24">
        <f t="shared" si="7"/>
        <v>0</v>
      </c>
      <c r="BJ7" s="24">
        <f t="shared" si="7"/>
        <v>0</v>
      </c>
      <c r="BK7" s="24">
        <f t="shared" si="7"/>
        <v>0</v>
      </c>
      <c r="BL7" s="24">
        <f t="shared" si="7"/>
        <v>0</v>
      </c>
      <c r="BM7" s="24">
        <f t="shared" si="7"/>
        <v>0</v>
      </c>
      <c r="BN7" s="24"/>
      <c r="BO7" s="24"/>
      <c r="BP7" s="24">
        <f t="shared" si="8"/>
        <v>0</v>
      </c>
      <c r="BQ7" s="24">
        <f t="shared" si="9"/>
        <v>8000000</v>
      </c>
      <c r="BR7" s="25">
        <f t="shared" si="10"/>
        <v>0.58460339412739304</v>
      </c>
      <c r="BS7" s="24">
        <f t="shared" si="11"/>
        <v>12788968</v>
      </c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>
        <f>+'[1]SEPTIEMBRE 2016'!$H$2658</f>
        <v>12788968</v>
      </c>
      <c r="CN7" s="25">
        <f t="shared" si="12"/>
        <v>0.41539660587260696</v>
      </c>
      <c r="CO7" s="24">
        <f t="shared" si="13"/>
        <v>9087347</v>
      </c>
      <c r="CP7" s="24">
        <f t="shared" si="14"/>
        <v>0</v>
      </c>
      <c r="CQ7" s="24">
        <f t="shared" si="14"/>
        <v>0</v>
      </c>
      <c r="CR7" s="24">
        <f t="shared" si="14"/>
        <v>0</v>
      </c>
      <c r="CS7" s="24">
        <f t="shared" si="14"/>
        <v>0</v>
      </c>
      <c r="CT7" s="24">
        <f t="shared" si="14"/>
        <v>0</v>
      </c>
      <c r="CU7" s="24">
        <f t="shared" si="14"/>
        <v>0</v>
      </c>
      <c r="CV7" s="24">
        <f t="shared" si="15"/>
        <v>0</v>
      </c>
      <c r="CW7" s="24">
        <f t="shared" si="15"/>
        <v>0</v>
      </c>
      <c r="CX7" s="24">
        <f t="shared" si="15"/>
        <v>0</v>
      </c>
      <c r="CY7" s="24">
        <f t="shared" si="16"/>
        <v>0</v>
      </c>
      <c r="CZ7" s="24">
        <f t="shared" si="16"/>
        <v>0</v>
      </c>
      <c r="DA7" s="24">
        <f t="shared" si="16"/>
        <v>0</v>
      </c>
      <c r="DB7" s="24">
        <f t="shared" si="17"/>
        <v>0</v>
      </c>
      <c r="DC7" s="24">
        <f t="shared" si="17"/>
        <v>0</v>
      </c>
      <c r="DD7" s="24">
        <f t="shared" si="17"/>
        <v>0</v>
      </c>
      <c r="DE7" s="24"/>
      <c r="DF7" s="24">
        <f t="shared" si="18"/>
        <v>0</v>
      </c>
      <c r="DG7" s="24">
        <f t="shared" si="18"/>
        <v>0</v>
      </c>
      <c r="DH7" s="24">
        <f t="shared" si="18"/>
        <v>9087347</v>
      </c>
    </row>
    <row r="8" spans="1:112" ht="45" x14ac:dyDescent="0.25">
      <c r="A8" s="30"/>
      <c r="B8" s="214" t="s">
        <v>53</v>
      </c>
      <c r="C8" s="20" t="s">
        <v>54</v>
      </c>
      <c r="D8" s="21" t="s">
        <v>55</v>
      </c>
      <c r="E8" s="22">
        <v>310</v>
      </c>
      <c r="F8" s="23" t="s">
        <v>43</v>
      </c>
      <c r="G8" s="24">
        <f t="shared" si="0"/>
        <v>200000000</v>
      </c>
      <c r="H8" s="24"/>
      <c r="I8" s="24">
        <f>200000000-193378600</f>
        <v>6621400</v>
      </c>
      <c r="J8" s="24"/>
      <c r="K8" s="24">
        <f>193378600</f>
        <v>193378600</v>
      </c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5">
        <f t="shared" si="1"/>
        <v>0.99987499999999996</v>
      </c>
      <c r="AB8" s="24">
        <f t="shared" si="2"/>
        <v>199975000</v>
      </c>
      <c r="AC8" s="24"/>
      <c r="AD8" s="24"/>
      <c r="AE8" s="24">
        <f>+'[2]ENERO 2016'!$M$109</f>
        <v>6621400</v>
      </c>
      <c r="AF8" s="24"/>
      <c r="AG8" s="24">
        <f>+'[3]FEBRERO 2016'!$O$125</f>
        <v>193353600</v>
      </c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5">
        <f t="shared" si="3"/>
        <v>1.2500000000004174E-4</v>
      </c>
      <c r="AX8" s="24">
        <f t="shared" si="4"/>
        <v>25000</v>
      </c>
      <c r="AY8" s="24">
        <f t="shared" si="5"/>
        <v>0</v>
      </c>
      <c r="AZ8" s="24">
        <f t="shared" si="6"/>
        <v>0</v>
      </c>
      <c r="BA8" s="24">
        <f t="shared" si="6"/>
        <v>0</v>
      </c>
      <c r="BB8" s="24">
        <f t="shared" si="7"/>
        <v>25000</v>
      </c>
      <c r="BC8" s="24">
        <f t="shared" si="7"/>
        <v>0</v>
      </c>
      <c r="BD8" s="24">
        <f t="shared" si="7"/>
        <v>0</v>
      </c>
      <c r="BE8" s="24">
        <f t="shared" si="7"/>
        <v>0</v>
      </c>
      <c r="BF8" s="24">
        <f t="shared" si="7"/>
        <v>0</v>
      </c>
      <c r="BG8" s="24">
        <f t="shared" si="7"/>
        <v>0</v>
      </c>
      <c r="BH8" s="24">
        <f t="shared" si="7"/>
        <v>0</v>
      </c>
      <c r="BI8" s="24">
        <f t="shared" si="7"/>
        <v>0</v>
      </c>
      <c r="BJ8" s="24">
        <f t="shared" si="7"/>
        <v>0</v>
      </c>
      <c r="BK8" s="24">
        <f t="shared" si="7"/>
        <v>0</v>
      </c>
      <c r="BL8" s="24">
        <f t="shared" si="7"/>
        <v>0</v>
      </c>
      <c r="BM8" s="24">
        <f t="shared" si="7"/>
        <v>0</v>
      </c>
      <c r="BN8" s="24"/>
      <c r="BO8" s="24"/>
      <c r="BP8" s="24">
        <f t="shared" si="8"/>
        <v>0</v>
      </c>
      <c r="BQ8" s="24">
        <f t="shared" si="9"/>
        <v>0</v>
      </c>
      <c r="BR8" s="25">
        <f t="shared" si="10"/>
        <v>0.58338447000000004</v>
      </c>
      <c r="BS8" s="24">
        <f t="shared" si="11"/>
        <v>116676894</v>
      </c>
      <c r="BT8" s="24"/>
      <c r="BU8" s="24"/>
      <c r="BV8" s="24">
        <f>+'[2]ENERO 2016'!$H$107</f>
        <v>6621400</v>
      </c>
      <c r="BW8" s="24"/>
      <c r="BX8" s="24">
        <f>+'[1]SEPTIEMBRE 2016'!$H$364-'[1]SEPTIEMBRE 2016'!$M$364</f>
        <v>110055494</v>
      </c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5">
        <f t="shared" si="12"/>
        <v>0.41661552999999996</v>
      </c>
      <c r="CO8" s="24">
        <f t="shared" si="13"/>
        <v>83323106</v>
      </c>
      <c r="CP8" s="24">
        <f t="shared" si="14"/>
        <v>0</v>
      </c>
      <c r="CQ8" s="24">
        <f t="shared" si="14"/>
        <v>0</v>
      </c>
      <c r="CR8" s="24">
        <f t="shared" si="14"/>
        <v>0</v>
      </c>
      <c r="CS8" s="24">
        <f t="shared" si="14"/>
        <v>83323106</v>
      </c>
      <c r="CT8" s="24">
        <f t="shared" si="14"/>
        <v>0</v>
      </c>
      <c r="CU8" s="24">
        <f t="shared" si="14"/>
        <v>0</v>
      </c>
      <c r="CV8" s="24">
        <f t="shared" si="15"/>
        <v>0</v>
      </c>
      <c r="CW8" s="24">
        <f t="shared" si="15"/>
        <v>0</v>
      </c>
      <c r="CX8" s="24">
        <f t="shared" si="15"/>
        <v>0</v>
      </c>
      <c r="CY8" s="24">
        <f t="shared" si="16"/>
        <v>0</v>
      </c>
      <c r="CZ8" s="24">
        <f t="shared" si="16"/>
        <v>0</v>
      </c>
      <c r="DA8" s="24">
        <f t="shared" si="16"/>
        <v>0</v>
      </c>
      <c r="DB8" s="24">
        <f t="shared" si="17"/>
        <v>0</v>
      </c>
      <c r="DC8" s="24">
        <f t="shared" si="17"/>
        <v>0</v>
      </c>
      <c r="DD8" s="24">
        <f t="shared" si="17"/>
        <v>0</v>
      </c>
      <c r="DE8" s="24"/>
      <c r="DF8" s="24">
        <f t="shared" si="18"/>
        <v>0</v>
      </c>
      <c r="DG8" s="24">
        <f t="shared" si="18"/>
        <v>0</v>
      </c>
      <c r="DH8" s="24">
        <f t="shared" si="18"/>
        <v>0</v>
      </c>
    </row>
    <row r="9" spans="1:112" ht="69" customHeight="1" x14ac:dyDescent="0.25">
      <c r="A9" s="30"/>
      <c r="B9" s="227"/>
      <c r="C9" s="20" t="s">
        <v>56</v>
      </c>
      <c r="D9" s="21" t="s">
        <v>57</v>
      </c>
      <c r="E9" s="22">
        <v>310</v>
      </c>
      <c r="F9" s="23" t="s">
        <v>58</v>
      </c>
      <c r="G9" s="24">
        <f t="shared" si="0"/>
        <v>539200000</v>
      </c>
      <c r="H9" s="24"/>
      <c r="I9" s="24">
        <f>150000000+21000000+193378600+29000000</f>
        <v>393378600</v>
      </c>
      <c r="J9" s="24"/>
      <c r="K9" s="24">
        <f>370000000-21000000-193378600-30800000-29000000</f>
        <v>95821400</v>
      </c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>
        <f>30000000+12000000+1000000+7000000</f>
        <v>50000000</v>
      </c>
      <c r="AA9" s="25">
        <f t="shared" si="1"/>
        <v>0.44301970882789315</v>
      </c>
      <c r="AB9" s="24">
        <f t="shared" si="2"/>
        <v>238876227</v>
      </c>
      <c r="AC9" s="24"/>
      <c r="AD9" s="24"/>
      <c r="AE9" s="24">
        <f>+'[1]SEPTIEMBRE 2016'!$M$391</f>
        <v>110550306</v>
      </c>
      <c r="AF9" s="24"/>
      <c r="AG9" s="24">
        <f>+'[4]AGOSTO 2016'!$O$339</f>
        <v>95047311</v>
      </c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>
        <f>+'[1]SEPTIEMBRE 2016'!$AG$391</f>
        <v>33278610</v>
      </c>
      <c r="AW9" s="25">
        <f t="shared" si="3"/>
        <v>0.5569802911721069</v>
      </c>
      <c r="AX9" s="24">
        <f t="shared" si="4"/>
        <v>300323773</v>
      </c>
      <c r="AY9" s="24">
        <f t="shared" si="5"/>
        <v>0</v>
      </c>
      <c r="AZ9" s="24">
        <f t="shared" si="6"/>
        <v>282828294</v>
      </c>
      <c r="BA9" s="24">
        <f t="shared" si="6"/>
        <v>0</v>
      </c>
      <c r="BB9" s="24">
        <f t="shared" si="7"/>
        <v>774089</v>
      </c>
      <c r="BC9" s="24">
        <f t="shared" si="7"/>
        <v>0</v>
      </c>
      <c r="BD9" s="24">
        <f t="shared" si="7"/>
        <v>0</v>
      </c>
      <c r="BE9" s="24">
        <f t="shared" si="7"/>
        <v>0</v>
      </c>
      <c r="BF9" s="24">
        <f t="shared" si="7"/>
        <v>0</v>
      </c>
      <c r="BG9" s="24">
        <f t="shared" si="7"/>
        <v>0</v>
      </c>
      <c r="BH9" s="24">
        <f t="shared" si="7"/>
        <v>0</v>
      </c>
      <c r="BI9" s="24">
        <f t="shared" si="7"/>
        <v>0</v>
      </c>
      <c r="BJ9" s="24">
        <f t="shared" si="7"/>
        <v>0</v>
      </c>
      <c r="BK9" s="24">
        <f t="shared" si="7"/>
        <v>0</v>
      </c>
      <c r="BL9" s="24">
        <f t="shared" si="7"/>
        <v>0</v>
      </c>
      <c r="BM9" s="24">
        <f t="shared" si="7"/>
        <v>0</v>
      </c>
      <c r="BN9" s="24"/>
      <c r="BO9" s="24"/>
      <c r="BP9" s="24">
        <f t="shared" si="8"/>
        <v>0</v>
      </c>
      <c r="BQ9" s="24">
        <f t="shared" si="9"/>
        <v>16721390</v>
      </c>
      <c r="BR9" s="25">
        <f t="shared" si="10"/>
        <v>0.44084417099406525</v>
      </c>
      <c r="BS9" s="24">
        <f t="shared" si="11"/>
        <v>237703177</v>
      </c>
      <c r="BT9" s="24"/>
      <c r="BU9" s="24"/>
      <c r="BV9" s="24">
        <f>+'[1]SEPTIEMBRE 2016'!$H$389-BX9-CM9</f>
        <v>109870420</v>
      </c>
      <c r="BW9" s="24"/>
      <c r="BX9" s="24">
        <v>95047311</v>
      </c>
      <c r="BY9" s="24"/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>
        <f>+'[1]SEPTIEMBRE 2016'!$H$460+'[1]SEPTIEMBRE 2016'!$G$486+'[1]SEPTIEMBRE 2016'!$G$490+'[1]SEPTIEMBRE 2016'!$H$493+'[1]SEPTIEMBRE 2016'!$H$501+'[1]SEPTIEMBRE 2016'!$H$509+'[1]SEPTIEMBRE 2016'!$H$511+'[1]SEPTIEMBRE 2016'!$H$518+'[1]SEPTIEMBRE 2016'!$H$519+'[1]SEPTIEMBRE 2016'!$H$524+'[1]SEPTIEMBRE 2016'!$H$542+'[1]SEPTIEMBRE 2016'!$H$544+'[1]SEPTIEMBRE 2016'!$H$545+'[1]SEPTIEMBRE 2016'!$H$558+'[1]SEPTIEMBRE 2016'!$H$573+'[1]SEPTIEMBRE 2016'!$G$582+'[1]SEPTIEMBRE 2016'!$G$584+'[1]SEPTIEMBRE 2016'!$G$590+'[1]SEPTIEMBRE 2016'!$G$591+'[1]SEPTIEMBRE 2016'!$H$599+'[1]SEPTIEMBRE 2016'!$H$600+'[1]SEPTIEMBRE 2016'!$H$603+'[1]SEPTIEMBRE 2016'!$G$616+'[1]SEPTIEMBRE 2016'!$G$618+'[1]SEPTIEMBRE 2016'!$G$619+'[1]SEPTIEMBRE 2016'!$G$622+'[1]SEPTIEMBRE 2016'!$H$629</f>
        <v>32785446</v>
      </c>
      <c r="CN9" s="25">
        <f t="shared" si="12"/>
        <v>0.55915582900593475</v>
      </c>
      <c r="CO9" s="24">
        <f t="shared" si="13"/>
        <v>301496823</v>
      </c>
      <c r="CP9" s="24">
        <f t="shared" si="14"/>
        <v>0</v>
      </c>
      <c r="CQ9" s="24">
        <f t="shared" si="14"/>
        <v>283508180</v>
      </c>
      <c r="CR9" s="24">
        <f t="shared" si="14"/>
        <v>0</v>
      </c>
      <c r="CS9" s="24">
        <f t="shared" si="14"/>
        <v>774089</v>
      </c>
      <c r="CT9" s="24">
        <f t="shared" si="14"/>
        <v>0</v>
      </c>
      <c r="CU9" s="24">
        <f t="shared" si="14"/>
        <v>0</v>
      </c>
      <c r="CV9" s="24">
        <f t="shared" si="15"/>
        <v>0</v>
      </c>
      <c r="CW9" s="24">
        <f t="shared" si="15"/>
        <v>0</v>
      </c>
      <c r="CX9" s="24">
        <f t="shared" si="15"/>
        <v>0</v>
      </c>
      <c r="CY9" s="24">
        <f t="shared" si="16"/>
        <v>0</v>
      </c>
      <c r="CZ9" s="24">
        <f t="shared" si="16"/>
        <v>0</v>
      </c>
      <c r="DA9" s="24">
        <f t="shared" si="16"/>
        <v>0</v>
      </c>
      <c r="DB9" s="24">
        <f t="shared" si="17"/>
        <v>0</v>
      </c>
      <c r="DC9" s="24">
        <f t="shared" si="17"/>
        <v>0</v>
      </c>
      <c r="DD9" s="24">
        <f t="shared" si="17"/>
        <v>0</v>
      </c>
      <c r="DE9" s="24"/>
      <c r="DF9" s="24">
        <f t="shared" si="18"/>
        <v>0</v>
      </c>
      <c r="DG9" s="24">
        <f t="shared" si="18"/>
        <v>0</v>
      </c>
      <c r="DH9" s="24">
        <f t="shared" si="18"/>
        <v>17214554</v>
      </c>
    </row>
    <row r="10" spans="1:112" ht="19.5" customHeight="1" x14ac:dyDescent="0.25">
      <c r="A10" s="30"/>
      <c r="B10" s="227"/>
      <c r="C10" s="20" t="s">
        <v>59</v>
      </c>
      <c r="D10" s="21" t="s">
        <v>60</v>
      </c>
      <c r="E10" s="22">
        <v>310</v>
      </c>
      <c r="F10" s="23" t="s">
        <v>43</v>
      </c>
      <c r="G10" s="24">
        <f t="shared" si="0"/>
        <v>36000000</v>
      </c>
      <c r="H10" s="24"/>
      <c r="I10" s="24"/>
      <c r="J10" s="24"/>
      <c r="K10" s="24">
        <f>15000000+21000000</f>
        <v>36000000</v>
      </c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5">
        <f t="shared" si="1"/>
        <v>0.41666666666666669</v>
      </c>
      <c r="AB10" s="24">
        <f t="shared" si="2"/>
        <v>15000000</v>
      </c>
      <c r="AC10" s="24"/>
      <c r="AD10" s="24"/>
      <c r="AE10" s="24"/>
      <c r="AF10" s="24"/>
      <c r="AG10" s="24">
        <f>+'[5]JULIO 2016'!$G$449</f>
        <v>15000000</v>
      </c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5">
        <f t="shared" si="3"/>
        <v>0.58333333333333326</v>
      </c>
      <c r="AX10" s="24">
        <f t="shared" si="4"/>
        <v>21000000</v>
      </c>
      <c r="AY10" s="24">
        <f t="shared" ref="AY10:AY16" si="19">H10-AD10</f>
        <v>0</v>
      </c>
      <c r="AZ10" s="24">
        <f t="shared" si="6"/>
        <v>0</v>
      </c>
      <c r="BA10" s="24">
        <f t="shared" si="6"/>
        <v>0</v>
      </c>
      <c r="BB10" s="24">
        <f t="shared" si="7"/>
        <v>21000000</v>
      </c>
      <c r="BC10" s="24">
        <f t="shared" si="7"/>
        <v>0</v>
      </c>
      <c r="BD10" s="24">
        <f t="shared" si="7"/>
        <v>0</v>
      </c>
      <c r="BE10" s="24">
        <f t="shared" si="7"/>
        <v>0</v>
      </c>
      <c r="BF10" s="24">
        <f t="shared" si="7"/>
        <v>0</v>
      </c>
      <c r="BG10" s="24">
        <f t="shared" si="7"/>
        <v>0</v>
      </c>
      <c r="BH10" s="24">
        <f t="shared" si="7"/>
        <v>0</v>
      </c>
      <c r="BI10" s="24">
        <f t="shared" si="7"/>
        <v>0</v>
      </c>
      <c r="BJ10" s="24">
        <f t="shared" si="7"/>
        <v>0</v>
      </c>
      <c r="BK10" s="24">
        <f t="shared" si="7"/>
        <v>0</v>
      </c>
      <c r="BL10" s="24">
        <f t="shared" si="7"/>
        <v>0</v>
      </c>
      <c r="BM10" s="24">
        <f t="shared" si="7"/>
        <v>0</v>
      </c>
      <c r="BN10" s="24"/>
      <c r="BO10" s="24"/>
      <c r="BP10" s="24">
        <f t="shared" si="8"/>
        <v>0</v>
      </c>
      <c r="BQ10" s="24">
        <f t="shared" si="9"/>
        <v>0</v>
      </c>
      <c r="BR10" s="25">
        <f t="shared" si="10"/>
        <v>0.3553527777777778</v>
      </c>
      <c r="BS10" s="24">
        <f t="shared" si="11"/>
        <v>12792700</v>
      </c>
      <c r="BT10" s="24"/>
      <c r="BU10" s="24"/>
      <c r="BV10" s="24"/>
      <c r="BW10" s="24"/>
      <c r="BX10" s="24">
        <f>+'[4]AGOSTO 2016'!$H$531</f>
        <v>12792700</v>
      </c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5">
        <f t="shared" si="12"/>
        <v>0.64464722222222215</v>
      </c>
      <c r="CO10" s="24">
        <f t="shared" si="13"/>
        <v>23207300</v>
      </c>
      <c r="CP10" s="24">
        <f t="shared" si="14"/>
        <v>0</v>
      </c>
      <c r="CQ10" s="24">
        <f t="shared" si="14"/>
        <v>0</v>
      </c>
      <c r="CR10" s="24">
        <f t="shared" si="14"/>
        <v>0</v>
      </c>
      <c r="CS10" s="24">
        <f t="shared" si="14"/>
        <v>23207300</v>
      </c>
      <c r="CT10" s="24">
        <f t="shared" si="14"/>
        <v>0</v>
      </c>
      <c r="CU10" s="24">
        <f t="shared" si="14"/>
        <v>0</v>
      </c>
      <c r="CV10" s="24">
        <f t="shared" si="15"/>
        <v>0</v>
      </c>
      <c r="CW10" s="24">
        <f t="shared" si="15"/>
        <v>0</v>
      </c>
      <c r="CX10" s="24">
        <f t="shared" si="15"/>
        <v>0</v>
      </c>
      <c r="CY10" s="24">
        <f t="shared" si="16"/>
        <v>0</v>
      </c>
      <c r="CZ10" s="24">
        <f t="shared" si="16"/>
        <v>0</v>
      </c>
      <c r="DA10" s="24">
        <f t="shared" si="16"/>
        <v>0</v>
      </c>
      <c r="DB10" s="24">
        <f t="shared" si="17"/>
        <v>0</v>
      </c>
      <c r="DC10" s="24">
        <f t="shared" si="17"/>
        <v>0</v>
      </c>
      <c r="DD10" s="24">
        <f t="shared" si="17"/>
        <v>0</v>
      </c>
      <c r="DE10" s="24"/>
      <c r="DF10" s="24">
        <f t="shared" si="18"/>
        <v>0</v>
      </c>
      <c r="DG10" s="24">
        <f t="shared" si="18"/>
        <v>0</v>
      </c>
      <c r="DH10" s="24">
        <f t="shared" si="18"/>
        <v>0</v>
      </c>
    </row>
    <row r="11" spans="1:112" ht="45" x14ac:dyDescent="0.25">
      <c r="A11" s="30"/>
      <c r="B11" s="227"/>
      <c r="C11" s="20" t="s">
        <v>61</v>
      </c>
      <c r="D11" s="21" t="s">
        <v>62</v>
      </c>
      <c r="E11" s="22">
        <v>310</v>
      </c>
      <c r="F11" s="23" t="s">
        <v>43</v>
      </c>
      <c r="G11" s="24">
        <f t="shared" si="0"/>
        <v>50000000</v>
      </c>
      <c r="H11" s="33"/>
      <c r="I11" s="24">
        <v>50000000</v>
      </c>
      <c r="J11" s="33"/>
      <c r="K11" s="33"/>
      <c r="L11" s="24"/>
      <c r="M11" s="33"/>
      <c r="N11" s="28"/>
      <c r="O11" s="28"/>
      <c r="P11" s="28"/>
      <c r="Q11" s="28"/>
      <c r="R11" s="28"/>
      <c r="S11" s="28"/>
      <c r="T11" s="24"/>
      <c r="U11" s="28"/>
      <c r="V11" s="28"/>
      <c r="W11" s="28"/>
      <c r="X11" s="28"/>
      <c r="Y11" s="28"/>
      <c r="Z11" s="33"/>
      <c r="AA11" s="25">
        <f t="shared" si="1"/>
        <v>0.71524679999999996</v>
      </c>
      <c r="AB11" s="24">
        <f t="shared" si="2"/>
        <v>35762340</v>
      </c>
      <c r="AC11" s="24"/>
      <c r="AD11" s="24"/>
      <c r="AE11" s="24">
        <f>+'[1]SEPTIEMBRE 2016'!$M$658</f>
        <v>35762340</v>
      </c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5">
        <f t="shared" si="3"/>
        <v>0.28475320000000004</v>
      </c>
      <c r="AX11" s="24">
        <f t="shared" si="4"/>
        <v>14237660</v>
      </c>
      <c r="AY11" s="24">
        <f t="shared" si="19"/>
        <v>0</v>
      </c>
      <c r="AZ11" s="24">
        <f t="shared" si="6"/>
        <v>14237660</v>
      </c>
      <c r="BA11" s="24">
        <f t="shared" si="6"/>
        <v>0</v>
      </c>
      <c r="BB11" s="24">
        <f t="shared" si="7"/>
        <v>0</v>
      </c>
      <c r="BC11" s="24">
        <f t="shared" si="7"/>
        <v>0</v>
      </c>
      <c r="BD11" s="24">
        <f t="shared" si="7"/>
        <v>0</v>
      </c>
      <c r="BE11" s="24">
        <f t="shared" si="7"/>
        <v>0</v>
      </c>
      <c r="BF11" s="24">
        <f t="shared" si="7"/>
        <v>0</v>
      </c>
      <c r="BG11" s="24">
        <f t="shared" si="7"/>
        <v>0</v>
      </c>
      <c r="BH11" s="24">
        <f t="shared" si="7"/>
        <v>0</v>
      </c>
      <c r="BI11" s="24">
        <f t="shared" si="7"/>
        <v>0</v>
      </c>
      <c r="BJ11" s="24">
        <f t="shared" si="7"/>
        <v>0</v>
      </c>
      <c r="BK11" s="24">
        <f t="shared" si="7"/>
        <v>0</v>
      </c>
      <c r="BL11" s="24">
        <f t="shared" si="7"/>
        <v>0</v>
      </c>
      <c r="BM11" s="24">
        <f t="shared" si="7"/>
        <v>0</v>
      </c>
      <c r="BN11" s="24"/>
      <c r="BO11" s="24"/>
      <c r="BP11" s="24">
        <f t="shared" si="8"/>
        <v>0</v>
      </c>
      <c r="BQ11" s="24">
        <f t="shared" si="9"/>
        <v>0</v>
      </c>
      <c r="BR11" s="25">
        <f t="shared" si="10"/>
        <v>0.15524679999999999</v>
      </c>
      <c r="BS11" s="24">
        <f t="shared" si="11"/>
        <v>7762340</v>
      </c>
      <c r="BT11" s="24"/>
      <c r="BU11" s="24"/>
      <c r="BV11" s="24">
        <f>+'[1]SEPTIEMBRE 2016'!$H$656</f>
        <v>7762340</v>
      </c>
      <c r="BW11" s="24"/>
      <c r="BX11" s="24"/>
      <c r="BY11" s="24"/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5">
        <f t="shared" si="12"/>
        <v>0.84475319999999998</v>
      </c>
      <c r="CO11" s="24">
        <f t="shared" si="13"/>
        <v>42237660</v>
      </c>
      <c r="CP11" s="24">
        <f t="shared" si="14"/>
        <v>0</v>
      </c>
      <c r="CQ11" s="24">
        <f t="shared" si="14"/>
        <v>42237660</v>
      </c>
      <c r="CR11" s="24">
        <f t="shared" si="14"/>
        <v>0</v>
      </c>
      <c r="CS11" s="24">
        <f t="shared" si="14"/>
        <v>0</v>
      </c>
      <c r="CT11" s="24">
        <f t="shared" si="14"/>
        <v>0</v>
      </c>
      <c r="CU11" s="24">
        <f t="shared" si="14"/>
        <v>0</v>
      </c>
      <c r="CV11" s="24">
        <f t="shared" si="15"/>
        <v>0</v>
      </c>
      <c r="CW11" s="24">
        <f t="shared" si="15"/>
        <v>0</v>
      </c>
      <c r="CX11" s="24">
        <f t="shared" si="15"/>
        <v>0</v>
      </c>
      <c r="CY11" s="24">
        <f t="shared" si="16"/>
        <v>0</v>
      </c>
      <c r="CZ11" s="24">
        <f t="shared" si="16"/>
        <v>0</v>
      </c>
      <c r="DA11" s="24">
        <f t="shared" si="16"/>
        <v>0</v>
      </c>
      <c r="DB11" s="24">
        <f t="shared" si="17"/>
        <v>0</v>
      </c>
      <c r="DC11" s="24">
        <f t="shared" si="17"/>
        <v>0</v>
      </c>
      <c r="DD11" s="24">
        <f t="shared" si="17"/>
        <v>0</v>
      </c>
      <c r="DE11" s="24"/>
      <c r="DF11" s="24">
        <f t="shared" si="18"/>
        <v>0</v>
      </c>
      <c r="DG11" s="24">
        <f t="shared" si="18"/>
        <v>0</v>
      </c>
      <c r="DH11" s="24">
        <f t="shared" si="18"/>
        <v>0</v>
      </c>
    </row>
    <row r="12" spans="1:112" ht="21" customHeight="1" x14ac:dyDescent="0.25">
      <c r="A12" s="30"/>
      <c r="B12" s="215"/>
      <c r="C12" s="20" t="s">
        <v>63</v>
      </c>
      <c r="D12" s="21" t="s">
        <v>64</v>
      </c>
      <c r="E12" s="22">
        <v>310</v>
      </c>
      <c r="F12" s="23" t="s">
        <v>43</v>
      </c>
      <c r="G12" s="24">
        <f t="shared" si="0"/>
        <v>10000000</v>
      </c>
      <c r="H12" s="33"/>
      <c r="I12" s="24"/>
      <c r="J12" s="33"/>
      <c r="K12" s="24">
        <v>10000000</v>
      </c>
      <c r="L12" s="24"/>
      <c r="M12" s="33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33"/>
      <c r="AA12" s="25">
        <f t="shared" si="1"/>
        <v>1</v>
      </c>
      <c r="AB12" s="24">
        <f t="shared" si="2"/>
        <v>10000000</v>
      </c>
      <c r="AC12" s="24"/>
      <c r="AD12" s="24"/>
      <c r="AE12" s="24"/>
      <c r="AF12" s="24"/>
      <c r="AG12" s="24">
        <f>+'[6]JUNIO 2016'!$O$399</f>
        <v>10000000</v>
      </c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5">
        <f t="shared" si="3"/>
        <v>0</v>
      </c>
      <c r="AX12" s="24">
        <f t="shared" si="4"/>
        <v>0</v>
      </c>
      <c r="AY12" s="24">
        <f t="shared" si="19"/>
        <v>0</v>
      </c>
      <c r="AZ12" s="24">
        <f t="shared" si="6"/>
        <v>0</v>
      </c>
      <c r="BA12" s="24">
        <f t="shared" si="6"/>
        <v>0</v>
      </c>
      <c r="BB12" s="24">
        <f t="shared" si="7"/>
        <v>0</v>
      </c>
      <c r="BC12" s="24">
        <f t="shared" si="7"/>
        <v>0</v>
      </c>
      <c r="BD12" s="24">
        <f t="shared" si="7"/>
        <v>0</v>
      </c>
      <c r="BE12" s="24">
        <f t="shared" si="7"/>
        <v>0</v>
      </c>
      <c r="BF12" s="24">
        <f t="shared" si="7"/>
        <v>0</v>
      </c>
      <c r="BG12" s="24">
        <f t="shared" si="7"/>
        <v>0</v>
      </c>
      <c r="BH12" s="24">
        <f t="shared" si="7"/>
        <v>0</v>
      </c>
      <c r="BI12" s="24">
        <f t="shared" si="7"/>
        <v>0</v>
      </c>
      <c r="BJ12" s="24">
        <f t="shared" si="7"/>
        <v>0</v>
      </c>
      <c r="BK12" s="24">
        <f t="shared" si="7"/>
        <v>0</v>
      </c>
      <c r="BL12" s="24">
        <f t="shared" si="7"/>
        <v>0</v>
      </c>
      <c r="BM12" s="24">
        <f t="shared" si="7"/>
        <v>0</v>
      </c>
      <c r="BN12" s="24"/>
      <c r="BO12" s="24"/>
      <c r="BP12" s="24">
        <f t="shared" si="8"/>
        <v>0</v>
      </c>
      <c r="BQ12" s="24">
        <f t="shared" si="9"/>
        <v>0</v>
      </c>
      <c r="BR12" s="25">
        <f t="shared" si="10"/>
        <v>0.78</v>
      </c>
      <c r="BS12" s="24">
        <f t="shared" si="11"/>
        <v>7800000</v>
      </c>
      <c r="BT12" s="24"/>
      <c r="BU12" s="24"/>
      <c r="BV12" s="24"/>
      <c r="BW12" s="24"/>
      <c r="BX12" s="24">
        <f>+'[4]AGOSTO 2016'!$H$546</f>
        <v>7800000</v>
      </c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5">
        <f t="shared" si="12"/>
        <v>0.21999999999999997</v>
      </c>
      <c r="CO12" s="24">
        <f t="shared" si="13"/>
        <v>2200000</v>
      </c>
      <c r="CP12" s="24">
        <f t="shared" si="14"/>
        <v>0</v>
      </c>
      <c r="CQ12" s="24">
        <f t="shared" si="14"/>
        <v>0</v>
      </c>
      <c r="CR12" s="24">
        <f t="shared" si="14"/>
        <v>0</v>
      </c>
      <c r="CS12" s="24">
        <f t="shared" si="14"/>
        <v>2200000</v>
      </c>
      <c r="CT12" s="24">
        <f t="shared" si="14"/>
        <v>0</v>
      </c>
      <c r="CU12" s="24">
        <f t="shared" si="14"/>
        <v>0</v>
      </c>
      <c r="CV12" s="24">
        <f t="shared" si="15"/>
        <v>0</v>
      </c>
      <c r="CW12" s="24">
        <f t="shared" si="15"/>
        <v>0</v>
      </c>
      <c r="CX12" s="24">
        <f t="shared" si="15"/>
        <v>0</v>
      </c>
      <c r="CY12" s="24">
        <f t="shared" si="16"/>
        <v>0</v>
      </c>
      <c r="CZ12" s="24">
        <f t="shared" si="16"/>
        <v>0</v>
      </c>
      <c r="DA12" s="24">
        <f t="shared" si="16"/>
        <v>0</v>
      </c>
      <c r="DB12" s="24">
        <f t="shared" si="17"/>
        <v>0</v>
      </c>
      <c r="DC12" s="24">
        <f t="shared" si="17"/>
        <v>0</v>
      </c>
      <c r="DD12" s="24">
        <f t="shared" si="17"/>
        <v>0</v>
      </c>
      <c r="DE12" s="24"/>
      <c r="DF12" s="24">
        <f t="shared" si="18"/>
        <v>0</v>
      </c>
      <c r="DG12" s="24">
        <f t="shared" si="18"/>
        <v>0</v>
      </c>
      <c r="DH12" s="24">
        <f t="shared" si="18"/>
        <v>0</v>
      </c>
    </row>
    <row r="13" spans="1:112" ht="81" customHeight="1" x14ac:dyDescent="0.25">
      <c r="A13" s="30"/>
      <c r="B13" s="32" t="s">
        <v>65</v>
      </c>
      <c r="C13" s="20" t="s">
        <v>66</v>
      </c>
      <c r="D13" s="21" t="s">
        <v>67</v>
      </c>
      <c r="E13" s="22">
        <v>510</v>
      </c>
      <c r="F13" s="23" t="s">
        <v>68</v>
      </c>
      <c r="G13" s="24">
        <f t="shared" si="0"/>
        <v>267804662</v>
      </c>
      <c r="H13" s="24"/>
      <c r="I13" s="24"/>
      <c r="J13" s="24"/>
      <c r="K13" s="24">
        <v>160000000</v>
      </c>
      <c r="L13" s="24">
        <v>14004396</v>
      </c>
      <c r="M13" s="24"/>
      <c r="N13" s="24"/>
      <c r="O13" s="24"/>
      <c r="P13" s="24"/>
      <c r="Q13" s="24"/>
      <c r="R13" s="24"/>
      <c r="S13" s="24"/>
      <c r="T13" s="24">
        <v>1796640</v>
      </c>
      <c r="U13" s="24"/>
      <c r="V13" s="24"/>
      <c r="W13" s="24"/>
      <c r="X13" s="24"/>
      <c r="Y13" s="24"/>
      <c r="Z13" s="24">
        <f>48000000+2053626+3000000+450000+19500000+7000000+10000000+2000000</f>
        <v>92003626</v>
      </c>
      <c r="AA13" s="25">
        <f t="shared" si="1"/>
        <v>0.93376113818362128</v>
      </c>
      <c r="AB13" s="24">
        <f t="shared" si="2"/>
        <v>250065586</v>
      </c>
      <c r="AC13" s="24"/>
      <c r="AD13" s="24"/>
      <c r="AE13" s="24"/>
      <c r="AF13" s="24"/>
      <c r="AG13" s="24">
        <v>160000000</v>
      </c>
      <c r="AH13" s="24">
        <f>+'[3]FEBRERO 2016'!$P$697</f>
        <v>14004396</v>
      </c>
      <c r="AI13" s="24"/>
      <c r="AJ13" s="24"/>
      <c r="AK13" s="24"/>
      <c r="AL13" s="24"/>
      <c r="AM13" s="24"/>
      <c r="AN13" s="24"/>
      <c r="AO13" s="24"/>
      <c r="AP13" s="24">
        <f>+'[3]FEBRERO 2016'!$X$699</f>
        <v>1796640</v>
      </c>
      <c r="AQ13" s="24"/>
      <c r="AR13" s="24"/>
      <c r="AS13" s="24"/>
      <c r="AT13" s="24"/>
      <c r="AU13" s="24"/>
      <c r="AV13" s="24">
        <f>+'[1]SEPTIEMBRE 2016'!$AG$2676</f>
        <v>74264550</v>
      </c>
      <c r="AW13" s="25">
        <f t="shared" si="3"/>
        <v>6.6238861816378725E-2</v>
      </c>
      <c r="AX13" s="24">
        <f t="shared" si="4"/>
        <v>17739076</v>
      </c>
      <c r="AY13" s="24">
        <f t="shared" si="19"/>
        <v>0</v>
      </c>
      <c r="AZ13" s="24">
        <f t="shared" si="6"/>
        <v>0</v>
      </c>
      <c r="BA13" s="24">
        <f t="shared" si="6"/>
        <v>0</v>
      </c>
      <c r="BB13" s="24">
        <f t="shared" si="7"/>
        <v>0</v>
      </c>
      <c r="BC13" s="24">
        <f t="shared" si="7"/>
        <v>0</v>
      </c>
      <c r="BD13" s="24">
        <f t="shared" si="7"/>
        <v>0</v>
      </c>
      <c r="BE13" s="24">
        <f t="shared" si="7"/>
        <v>0</v>
      </c>
      <c r="BF13" s="24">
        <f t="shared" si="7"/>
        <v>0</v>
      </c>
      <c r="BG13" s="24">
        <f t="shared" si="7"/>
        <v>0</v>
      </c>
      <c r="BH13" s="24">
        <f t="shared" si="7"/>
        <v>0</v>
      </c>
      <c r="BI13" s="24">
        <f t="shared" si="7"/>
        <v>0</v>
      </c>
      <c r="BJ13" s="24">
        <f t="shared" si="7"/>
        <v>0</v>
      </c>
      <c r="BK13" s="24">
        <f t="shared" si="7"/>
        <v>0</v>
      </c>
      <c r="BL13" s="24">
        <f t="shared" si="7"/>
        <v>0</v>
      </c>
      <c r="BM13" s="24">
        <f t="shared" si="7"/>
        <v>0</v>
      </c>
      <c r="BN13" s="24"/>
      <c r="BO13" s="24"/>
      <c r="BP13" s="24">
        <f t="shared" si="8"/>
        <v>0</v>
      </c>
      <c r="BQ13" s="24">
        <f t="shared" si="9"/>
        <v>17739076</v>
      </c>
      <c r="BR13" s="25">
        <f t="shared" si="10"/>
        <v>0.89545926201986725</v>
      </c>
      <c r="BS13" s="24">
        <f t="shared" si="11"/>
        <v>239808165</v>
      </c>
      <c r="BT13" s="24"/>
      <c r="BU13" s="24"/>
      <c r="BV13" s="24"/>
      <c r="BW13" s="24"/>
      <c r="BX13" s="24">
        <f>+'[1]SEPTIEMBRE 2016'!$H$2674-BY13-CG13-CM13</f>
        <v>149989067</v>
      </c>
      <c r="BY13" s="24">
        <f>+'[7]MAYO 2016'!$H$1359</f>
        <v>14004396</v>
      </c>
      <c r="BZ13" s="24"/>
      <c r="CA13" s="24"/>
      <c r="CB13" s="24"/>
      <c r="CC13" s="24"/>
      <c r="CD13" s="24"/>
      <c r="CE13" s="24"/>
      <c r="CF13" s="24"/>
      <c r="CG13" s="24">
        <f>+'[7]MAYO 2016'!$H$1361</f>
        <v>1796640</v>
      </c>
      <c r="CH13" s="24"/>
      <c r="CI13" s="24"/>
      <c r="CJ13" s="24"/>
      <c r="CK13" s="24"/>
      <c r="CL13" s="24"/>
      <c r="CM13" s="24">
        <f>+'[1]SEPTIEMBRE 2016'!$H$2685+'[1]SEPTIEMBRE 2016'!$H$2693+'[1]SEPTIEMBRE 2016'!$H$2696+'[1]SEPTIEMBRE 2016'!$H$2699+'[1]SEPTIEMBRE 2016'!$H$2703+'[1]SEPTIEMBRE 2016'!$H$2705+'[1]SEPTIEMBRE 2016'!$H$2707+'[1]SEPTIEMBRE 2016'!$H$2727+'[1]SEPTIEMBRE 2016'!$H$2728+'[1]SEPTIEMBRE 2016'!$H$2736+'[1]SEPTIEMBRE 2016'!$H$2740+'[1]SEPTIEMBRE 2016'!$H$2741+'[1]SEPTIEMBRE 2016'!$H$2743+'[1]SEPTIEMBRE 2016'!$H$2757</f>
        <v>74018062</v>
      </c>
      <c r="CN13" s="25">
        <f t="shared" si="12"/>
        <v>0.10454073798013275</v>
      </c>
      <c r="CO13" s="24">
        <f t="shared" si="13"/>
        <v>27996497</v>
      </c>
      <c r="CP13" s="24">
        <f t="shared" si="14"/>
        <v>0</v>
      </c>
      <c r="CQ13" s="24">
        <f t="shared" si="14"/>
        <v>0</v>
      </c>
      <c r="CR13" s="24">
        <f t="shared" si="14"/>
        <v>0</v>
      </c>
      <c r="CS13" s="24">
        <f t="shared" si="14"/>
        <v>10010933</v>
      </c>
      <c r="CT13" s="24">
        <f t="shared" si="14"/>
        <v>0</v>
      </c>
      <c r="CU13" s="24">
        <f t="shared" si="14"/>
        <v>0</v>
      </c>
      <c r="CV13" s="24">
        <f t="shared" si="15"/>
        <v>0</v>
      </c>
      <c r="CW13" s="24">
        <f t="shared" si="15"/>
        <v>0</v>
      </c>
      <c r="CX13" s="24">
        <f t="shared" si="15"/>
        <v>0</v>
      </c>
      <c r="CY13" s="24">
        <f t="shared" si="16"/>
        <v>0</v>
      </c>
      <c r="CZ13" s="24">
        <f t="shared" si="16"/>
        <v>0</v>
      </c>
      <c r="DA13" s="24">
        <f t="shared" si="16"/>
        <v>0</v>
      </c>
      <c r="DB13" s="24">
        <f t="shared" si="17"/>
        <v>0</v>
      </c>
      <c r="DC13" s="24">
        <f t="shared" si="17"/>
        <v>0</v>
      </c>
      <c r="DD13" s="24">
        <f t="shared" si="17"/>
        <v>0</v>
      </c>
      <c r="DE13" s="24"/>
      <c r="DF13" s="24">
        <f t="shared" si="18"/>
        <v>0</v>
      </c>
      <c r="DG13" s="24">
        <f t="shared" si="18"/>
        <v>0</v>
      </c>
      <c r="DH13" s="24">
        <f t="shared" si="18"/>
        <v>17985564</v>
      </c>
    </row>
    <row r="14" spans="1:112" ht="48" customHeight="1" x14ac:dyDescent="0.25">
      <c r="A14" s="30"/>
      <c r="B14" s="214" t="s">
        <v>69</v>
      </c>
      <c r="C14" s="20" t="s">
        <v>70</v>
      </c>
      <c r="D14" s="21" t="s">
        <v>71</v>
      </c>
      <c r="E14" s="22">
        <v>510</v>
      </c>
      <c r="F14" s="23" t="s">
        <v>43</v>
      </c>
      <c r="G14" s="24">
        <f t="shared" si="0"/>
        <v>65000000</v>
      </c>
      <c r="H14" s="24"/>
      <c r="I14" s="24"/>
      <c r="J14" s="24"/>
      <c r="K14" s="24">
        <v>65000000</v>
      </c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5">
        <f t="shared" si="1"/>
        <v>0.90550324615384614</v>
      </c>
      <c r="AB14" s="24">
        <f t="shared" si="2"/>
        <v>58857711</v>
      </c>
      <c r="AC14" s="24"/>
      <c r="AD14" s="24"/>
      <c r="AE14" s="24"/>
      <c r="AF14" s="24"/>
      <c r="AG14" s="24">
        <f>+'[4]AGOSTO 2016'!$O$2340</f>
        <v>58857711</v>
      </c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5">
        <f t="shared" si="3"/>
        <v>9.4496753846153858E-2</v>
      </c>
      <c r="AX14" s="24">
        <f t="shared" si="4"/>
        <v>6142289</v>
      </c>
      <c r="AY14" s="24">
        <f t="shared" si="19"/>
        <v>0</v>
      </c>
      <c r="AZ14" s="24">
        <f t="shared" si="6"/>
        <v>0</v>
      </c>
      <c r="BA14" s="24">
        <f t="shared" si="6"/>
        <v>0</v>
      </c>
      <c r="BB14" s="24">
        <f t="shared" si="7"/>
        <v>6142289</v>
      </c>
      <c r="BC14" s="24">
        <f t="shared" si="7"/>
        <v>0</v>
      </c>
      <c r="BD14" s="24">
        <f t="shared" si="7"/>
        <v>0</v>
      </c>
      <c r="BE14" s="24">
        <f t="shared" si="7"/>
        <v>0</v>
      </c>
      <c r="BF14" s="24">
        <f t="shared" si="7"/>
        <v>0</v>
      </c>
      <c r="BG14" s="24">
        <f t="shared" si="7"/>
        <v>0</v>
      </c>
      <c r="BH14" s="24">
        <f t="shared" si="7"/>
        <v>0</v>
      </c>
      <c r="BI14" s="24">
        <f t="shared" si="7"/>
        <v>0</v>
      </c>
      <c r="BJ14" s="24">
        <f t="shared" si="7"/>
        <v>0</v>
      </c>
      <c r="BK14" s="24">
        <f t="shared" si="7"/>
        <v>0</v>
      </c>
      <c r="BL14" s="24">
        <f t="shared" si="7"/>
        <v>0</v>
      </c>
      <c r="BM14" s="24">
        <f t="shared" si="7"/>
        <v>0</v>
      </c>
      <c r="BN14" s="24"/>
      <c r="BO14" s="24">
        <f>+X14-AT14</f>
        <v>0</v>
      </c>
      <c r="BP14" s="24">
        <f t="shared" si="8"/>
        <v>0</v>
      </c>
      <c r="BQ14" s="24">
        <f t="shared" si="9"/>
        <v>0</v>
      </c>
      <c r="BR14" s="25">
        <f t="shared" si="10"/>
        <v>0.84347380000000005</v>
      </c>
      <c r="BS14" s="24">
        <f t="shared" si="11"/>
        <v>54825797</v>
      </c>
      <c r="BT14" s="24"/>
      <c r="BU14" s="24"/>
      <c r="BV14" s="24"/>
      <c r="BW14" s="24"/>
      <c r="BX14" s="24">
        <f>+'[1]SEPTIEMBRE 2016'!$H$2761</f>
        <v>54825797</v>
      </c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5">
        <f>1-BR14</f>
        <v>0.15652619999999995</v>
      </c>
      <c r="CO14" s="24">
        <f t="shared" si="13"/>
        <v>10174203</v>
      </c>
      <c r="CP14" s="24">
        <f t="shared" si="14"/>
        <v>0</v>
      </c>
      <c r="CQ14" s="24">
        <f t="shared" si="14"/>
        <v>0</v>
      </c>
      <c r="CR14" s="24">
        <f t="shared" si="14"/>
        <v>0</v>
      </c>
      <c r="CS14" s="24">
        <f t="shared" si="14"/>
        <v>10174203</v>
      </c>
      <c r="CT14" s="24">
        <f t="shared" si="14"/>
        <v>0</v>
      </c>
      <c r="CU14" s="24">
        <f t="shared" si="14"/>
        <v>0</v>
      </c>
      <c r="CV14" s="24">
        <f t="shared" si="15"/>
        <v>0</v>
      </c>
      <c r="CW14" s="24">
        <f t="shared" si="15"/>
        <v>0</v>
      </c>
      <c r="CX14" s="24">
        <f t="shared" si="15"/>
        <v>0</v>
      </c>
      <c r="CY14" s="24">
        <f t="shared" si="16"/>
        <v>0</v>
      </c>
      <c r="CZ14" s="24">
        <f t="shared" si="16"/>
        <v>0</v>
      </c>
      <c r="DA14" s="24">
        <f t="shared" si="16"/>
        <v>0</v>
      </c>
      <c r="DB14" s="24">
        <f t="shared" si="17"/>
        <v>0</v>
      </c>
      <c r="DC14" s="24">
        <f t="shared" si="17"/>
        <v>0</v>
      </c>
      <c r="DD14" s="24">
        <f t="shared" si="17"/>
        <v>0</v>
      </c>
      <c r="DE14" s="24"/>
      <c r="DF14" s="24">
        <f t="shared" si="18"/>
        <v>0</v>
      </c>
      <c r="DG14" s="24">
        <f t="shared" si="18"/>
        <v>0</v>
      </c>
      <c r="DH14" s="24">
        <f t="shared" si="18"/>
        <v>0</v>
      </c>
    </row>
    <row r="15" spans="1:112" ht="45" x14ac:dyDescent="0.25">
      <c r="A15" s="30"/>
      <c r="B15" s="227"/>
      <c r="C15" s="20" t="s">
        <v>72</v>
      </c>
      <c r="D15" s="21" t="s">
        <v>73</v>
      </c>
      <c r="E15" s="22">
        <v>510</v>
      </c>
      <c r="F15" s="23" t="s">
        <v>43</v>
      </c>
      <c r="G15" s="24">
        <f t="shared" si="0"/>
        <v>32000000</v>
      </c>
      <c r="H15" s="24"/>
      <c r="I15" s="24"/>
      <c r="J15" s="24"/>
      <c r="K15" s="24">
        <v>1568554</v>
      </c>
      <c r="L15" s="24"/>
      <c r="M15" s="24"/>
      <c r="N15" s="24"/>
      <c r="O15" s="24"/>
      <c r="P15" s="24"/>
      <c r="Q15" s="24"/>
      <c r="R15" s="24"/>
      <c r="S15" s="24">
        <v>30431446</v>
      </c>
      <c r="T15" s="24"/>
      <c r="U15" s="24"/>
      <c r="V15" s="24"/>
      <c r="W15" s="24"/>
      <c r="X15" s="24"/>
      <c r="Y15" s="24"/>
      <c r="Z15" s="24"/>
      <c r="AA15" s="25">
        <f t="shared" si="1"/>
        <v>0.77308631250000004</v>
      </c>
      <c r="AB15" s="24">
        <f t="shared" si="2"/>
        <v>24738762</v>
      </c>
      <c r="AC15" s="24"/>
      <c r="AD15" s="24"/>
      <c r="AE15" s="24"/>
      <c r="AF15" s="24"/>
      <c r="AG15" s="24">
        <f>+'[7]MAYO 2016'!$O$1393</f>
        <v>1550000</v>
      </c>
      <c r="AH15" s="24"/>
      <c r="AI15" s="24"/>
      <c r="AJ15" s="24"/>
      <c r="AK15" s="24"/>
      <c r="AL15" s="24"/>
      <c r="AM15" s="24"/>
      <c r="AN15" s="24"/>
      <c r="AO15" s="24">
        <f>+'[4]AGOSTO 2016'!$W$2380</f>
        <v>23188762</v>
      </c>
      <c r="AP15" s="24"/>
      <c r="AQ15" s="24"/>
      <c r="AR15" s="24"/>
      <c r="AS15" s="24"/>
      <c r="AT15" s="24"/>
      <c r="AU15" s="24"/>
      <c r="AV15" s="24"/>
      <c r="AW15" s="25">
        <f t="shared" si="3"/>
        <v>0.22691368749999996</v>
      </c>
      <c r="AX15" s="24">
        <f t="shared" si="4"/>
        <v>7261238</v>
      </c>
      <c r="AY15" s="24">
        <f t="shared" si="19"/>
        <v>0</v>
      </c>
      <c r="AZ15" s="24">
        <f t="shared" si="6"/>
        <v>0</v>
      </c>
      <c r="BA15" s="24">
        <f t="shared" si="6"/>
        <v>0</v>
      </c>
      <c r="BB15" s="24">
        <f t="shared" si="7"/>
        <v>18554</v>
      </c>
      <c r="BC15" s="24">
        <f t="shared" si="7"/>
        <v>0</v>
      </c>
      <c r="BD15" s="24">
        <f t="shared" si="7"/>
        <v>0</v>
      </c>
      <c r="BE15" s="24">
        <f t="shared" si="7"/>
        <v>0</v>
      </c>
      <c r="BF15" s="24">
        <f t="shared" si="7"/>
        <v>0</v>
      </c>
      <c r="BG15" s="24">
        <f t="shared" si="7"/>
        <v>0</v>
      </c>
      <c r="BH15" s="24">
        <f t="shared" si="7"/>
        <v>0</v>
      </c>
      <c r="BI15" s="24">
        <f t="shared" si="7"/>
        <v>0</v>
      </c>
      <c r="BJ15" s="24">
        <f t="shared" si="7"/>
        <v>7242684</v>
      </c>
      <c r="BK15" s="24">
        <f t="shared" si="7"/>
        <v>0</v>
      </c>
      <c r="BL15" s="24">
        <f t="shared" si="7"/>
        <v>0</v>
      </c>
      <c r="BM15" s="24">
        <f t="shared" si="7"/>
        <v>0</v>
      </c>
      <c r="BN15" s="24"/>
      <c r="BO15" s="24"/>
      <c r="BP15" s="24">
        <f t="shared" si="8"/>
        <v>0</v>
      </c>
      <c r="BQ15" s="24">
        <f t="shared" si="9"/>
        <v>0</v>
      </c>
      <c r="BR15" s="25">
        <f t="shared" si="10"/>
        <v>0.7727571875</v>
      </c>
      <c r="BS15" s="24">
        <f t="shared" si="11"/>
        <v>24728230</v>
      </c>
      <c r="BT15" s="24"/>
      <c r="BU15" s="24"/>
      <c r="BV15" s="24"/>
      <c r="BW15" s="24"/>
      <c r="BX15" s="24">
        <f>+'[7]MAYO 2016'!$O$1397</f>
        <v>1550000</v>
      </c>
      <c r="BY15" s="24"/>
      <c r="BZ15" s="24"/>
      <c r="CA15" s="24"/>
      <c r="CB15" s="24"/>
      <c r="CC15" s="24"/>
      <c r="CD15" s="24"/>
      <c r="CE15" s="24"/>
      <c r="CF15" s="24">
        <f>+'[4]AGOSTO 2016'!$H$2378-BX15</f>
        <v>23178230</v>
      </c>
      <c r="CG15" s="24"/>
      <c r="CH15" s="24"/>
      <c r="CI15" s="24"/>
      <c r="CJ15" s="24"/>
      <c r="CK15" s="24"/>
      <c r="CL15" s="24"/>
      <c r="CM15" s="24"/>
      <c r="CN15" s="25">
        <f t="shared" si="12"/>
        <v>0.2272428125</v>
      </c>
      <c r="CO15" s="24">
        <f t="shared" si="13"/>
        <v>7271770</v>
      </c>
      <c r="CP15" s="24">
        <f t="shared" si="14"/>
        <v>0</v>
      </c>
      <c r="CQ15" s="24">
        <f t="shared" si="14"/>
        <v>0</v>
      </c>
      <c r="CR15" s="24">
        <f t="shared" si="14"/>
        <v>0</v>
      </c>
      <c r="CS15" s="24">
        <f t="shared" si="14"/>
        <v>18554</v>
      </c>
      <c r="CT15" s="24">
        <f t="shared" si="14"/>
        <v>0</v>
      </c>
      <c r="CU15" s="24">
        <f t="shared" si="14"/>
        <v>0</v>
      </c>
      <c r="CV15" s="24">
        <f t="shared" si="15"/>
        <v>0</v>
      </c>
      <c r="CW15" s="24">
        <f t="shared" si="15"/>
        <v>0</v>
      </c>
      <c r="CX15" s="24">
        <f t="shared" si="15"/>
        <v>0</v>
      </c>
      <c r="CY15" s="24">
        <f t="shared" si="16"/>
        <v>0</v>
      </c>
      <c r="CZ15" s="24">
        <f t="shared" si="16"/>
        <v>0</v>
      </c>
      <c r="DA15" s="24">
        <f t="shared" si="16"/>
        <v>7253216</v>
      </c>
      <c r="DB15" s="24">
        <f t="shared" si="17"/>
        <v>0</v>
      </c>
      <c r="DC15" s="24">
        <f t="shared" si="17"/>
        <v>0</v>
      </c>
      <c r="DD15" s="24">
        <f t="shared" si="17"/>
        <v>0</v>
      </c>
      <c r="DE15" s="24"/>
      <c r="DF15" s="24">
        <f t="shared" si="18"/>
        <v>0</v>
      </c>
      <c r="DG15" s="24">
        <f t="shared" si="18"/>
        <v>0</v>
      </c>
      <c r="DH15" s="24">
        <f t="shared" si="18"/>
        <v>0</v>
      </c>
    </row>
    <row r="16" spans="1:112" ht="20.25" customHeight="1" x14ac:dyDescent="0.25">
      <c r="A16" s="30"/>
      <c r="B16" s="215"/>
      <c r="C16" s="20" t="s">
        <v>74</v>
      </c>
      <c r="D16" s="21" t="s">
        <v>75</v>
      </c>
      <c r="E16" s="22">
        <v>510</v>
      </c>
      <c r="F16" s="23" t="s">
        <v>76</v>
      </c>
      <c r="G16" s="24">
        <f t="shared" si="0"/>
        <v>0</v>
      </c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>
        <f>4000000-4000000</f>
        <v>0</v>
      </c>
      <c r="AA16" s="25" t="e">
        <f t="shared" si="1"/>
        <v>#DIV/0!</v>
      </c>
      <c r="AB16" s="24">
        <f t="shared" si="2"/>
        <v>0</v>
      </c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5" t="e">
        <f t="shared" si="3"/>
        <v>#DIV/0!</v>
      </c>
      <c r="AX16" s="24">
        <f t="shared" si="4"/>
        <v>0</v>
      </c>
      <c r="AY16" s="24">
        <f t="shared" si="19"/>
        <v>0</v>
      </c>
      <c r="AZ16" s="24">
        <f t="shared" si="6"/>
        <v>0</v>
      </c>
      <c r="BA16" s="24">
        <f t="shared" si="6"/>
        <v>0</v>
      </c>
      <c r="BB16" s="24">
        <f t="shared" si="7"/>
        <v>0</v>
      </c>
      <c r="BC16" s="24">
        <f t="shared" si="7"/>
        <v>0</v>
      </c>
      <c r="BD16" s="24">
        <f t="shared" si="7"/>
        <v>0</v>
      </c>
      <c r="BE16" s="24">
        <f t="shared" si="7"/>
        <v>0</v>
      </c>
      <c r="BF16" s="24">
        <f t="shared" si="7"/>
        <v>0</v>
      </c>
      <c r="BG16" s="24">
        <f t="shared" si="7"/>
        <v>0</v>
      </c>
      <c r="BH16" s="24">
        <f t="shared" si="7"/>
        <v>0</v>
      </c>
      <c r="BI16" s="24">
        <f t="shared" si="7"/>
        <v>0</v>
      </c>
      <c r="BJ16" s="24">
        <f t="shared" si="7"/>
        <v>0</v>
      </c>
      <c r="BK16" s="24">
        <f t="shared" si="7"/>
        <v>0</v>
      </c>
      <c r="BL16" s="24">
        <f t="shared" si="7"/>
        <v>0</v>
      </c>
      <c r="BM16" s="24">
        <f t="shared" si="7"/>
        <v>0</v>
      </c>
      <c r="BN16" s="24"/>
      <c r="BO16" s="24"/>
      <c r="BP16" s="24">
        <f t="shared" si="8"/>
        <v>0</v>
      </c>
      <c r="BQ16" s="24">
        <f t="shared" si="9"/>
        <v>0</v>
      </c>
      <c r="BR16" s="25" t="e">
        <f t="shared" si="10"/>
        <v>#DIV/0!</v>
      </c>
      <c r="BS16" s="24">
        <f t="shared" si="11"/>
        <v>0</v>
      </c>
      <c r="BT16" s="24"/>
      <c r="BU16" s="24"/>
      <c r="BV16" s="24"/>
      <c r="BW16" s="24"/>
      <c r="BX16" s="24"/>
      <c r="BY16" s="24"/>
      <c r="BZ16" s="24"/>
      <c r="CA16" s="24"/>
      <c r="CB16" s="24"/>
      <c r="CC16" s="24"/>
      <c r="CD16" s="24"/>
      <c r="CE16" s="24"/>
      <c r="CF16" s="24"/>
      <c r="CG16" s="24"/>
      <c r="CH16" s="24"/>
      <c r="CI16" s="24"/>
      <c r="CJ16" s="24"/>
      <c r="CK16" s="24"/>
      <c r="CL16" s="24"/>
      <c r="CM16" s="24"/>
      <c r="CN16" s="25" t="e">
        <f t="shared" si="12"/>
        <v>#DIV/0!</v>
      </c>
      <c r="CO16" s="24">
        <f t="shared" si="13"/>
        <v>0</v>
      </c>
      <c r="CP16" s="24">
        <f t="shared" si="14"/>
        <v>0</v>
      </c>
      <c r="CQ16" s="24">
        <f t="shared" si="14"/>
        <v>0</v>
      </c>
      <c r="CR16" s="24">
        <f t="shared" si="14"/>
        <v>0</v>
      </c>
      <c r="CS16" s="24">
        <f t="shared" si="14"/>
        <v>0</v>
      </c>
      <c r="CT16" s="24">
        <f t="shared" si="14"/>
        <v>0</v>
      </c>
      <c r="CU16" s="24">
        <f t="shared" si="14"/>
        <v>0</v>
      </c>
      <c r="CV16" s="24">
        <f t="shared" si="15"/>
        <v>0</v>
      </c>
      <c r="CW16" s="24">
        <f t="shared" si="15"/>
        <v>0</v>
      </c>
      <c r="CX16" s="24">
        <f t="shared" si="15"/>
        <v>0</v>
      </c>
      <c r="CY16" s="24">
        <f t="shared" si="16"/>
        <v>0</v>
      </c>
      <c r="CZ16" s="24">
        <f t="shared" si="16"/>
        <v>0</v>
      </c>
      <c r="DA16" s="24">
        <f t="shared" si="16"/>
        <v>0</v>
      </c>
      <c r="DB16" s="24">
        <f t="shared" si="17"/>
        <v>0</v>
      </c>
      <c r="DC16" s="24">
        <f t="shared" si="17"/>
        <v>0</v>
      </c>
      <c r="DD16" s="24">
        <f t="shared" si="17"/>
        <v>0</v>
      </c>
      <c r="DE16" s="24"/>
      <c r="DF16" s="24">
        <f t="shared" si="18"/>
        <v>0</v>
      </c>
      <c r="DG16" s="24">
        <f t="shared" si="18"/>
        <v>0</v>
      </c>
      <c r="DH16" s="24">
        <f t="shared" si="18"/>
        <v>0</v>
      </c>
    </row>
    <row r="17" spans="1:112" ht="26.25" customHeight="1" x14ac:dyDescent="0.25">
      <c r="A17" s="30"/>
      <c r="B17" s="34" t="s">
        <v>77</v>
      </c>
      <c r="C17" s="20" t="s">
        <v>78</v>
      </c>
      <c r="D17" s="21" t="s">
        <v>79</v>
      </c>
      <c r="E17" s="22">
        <v>510</v>
      </c>
      <c r="F17" s="23" t="s">
        <v>43</v>
      </c>
      <c r="G17" s="24">
        <f t="shared" si="0"/>
        <v>30800000</v>
      </c>
      <c r="H17" s="24"/>
      <c r="I17" s="24"/>
      <c r="J17" s="24"/>
      <c r="K17" s="24">
        <f>30800000</f>
        <v>30800000</v>
      </c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5">
        <f t="shared" si="1"/>
        <v>1</v>
      </c>
      <c r="AB17" s="24">
        <f t="shared" si="2"/>
        <v>30800000</v>
      </c>
      <c r="AC17" s="24"/>
      <c r="AD17" s="24"/>
      <c r="AE17" s="24"/>
      <c r="AF17" s="24"/>
      <c r="AG17" s="24">
        <f>+'[6]JUNIO 2016'!$O$1629</f>
        <v>30800000</v>
      </c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5">
        <f t="shared" si="3"/>
        <v>0</v>
      </c>
      <c r="AX17" s="24">
        <f t="shared" si="4"/>
        <v>0</v>
      </c>
      <c r="AY17" s="24">
        <f>+H17</f>
        <v>0</v>
      </c>
      <c r="AZ17" s="24">
        <f>+I17</f>
        <v>0</v>
      </c>
      <c r="BA17" s="24">
        <f>+J17</f>
        <v>0</v>
      </c>
      <c r="BB17" s="24">
        <f>+K17-AG17</f>
        <v>0</v>
      </c>
      <c r="BC17" s="24">
        <f t="shared" ref="BC17:BM17" si="20">+L17</f>
        <v>0</v>
      </c>
      <c r="BD17" s="24">
        <f t="shared" si="20"/>
        <v>0</v>
      </c>
      <c r="BE17" s="24">
        <f t="shared" si="20"/>
        <v>0</v>
      </c>
      <c r="BF17" s="24">
        <f t="shared" si="20"/>
        <v>0</v>
      </c>
      <c r="BG17" s="24">
        <f t="shared" si="20"/>
        <v>0</v>
      </c>
      <c r="BH17" s="24">
        <f t="shared" si="20"/>
        <v>0</v>
      </c>
      <c r="BI17" s="24">
        <f t="shared" si="20"/>
        <v>0</v>
      </c>
      <c r="BJ17" s="24">
        <f t="shared" si="20"/>
        <v>0</v>
      </c>
      <c r="BK17" s="24">
        <f t="shared" si="20"/>
        <v>0</v>
      </c>
      <c r="BL17" s="24">
        <f t="shared" si="20"/>
        <v>0</v>
      </c>
      <c r="BM17" s="24">
        <f t="shared" si="20"/>
        <v>0</v>
      </c>
      <c r="BN17" s="24"/>
      <c r="BO17" s="24">
        <f>+X17</f>
        <v>0</v>
      </c>
      <c r="BP17" s="24">
        <f>+Y17</f>
        <v>0</v>
      </c>
      <c r="BQ17" s="24">
        <f>+Z17</f>
        <v>0</v>
      </c>
      <c r="BR17" s="25">
        <f t="shared" si="10"/>
        <v>0.6428571428571429</v>
      </c>
      <c r="BS17" s="24">
        <f t="shared" si="11"/>
        <v>19800000</v>
      </c>
      <c r="BT17" s="24"/>
      <c r="BU17" s="24"/>
      <c r="BV17" s="24"/>
      <c r="BW17" s="24"/>
      <c r="BX17" s="24">
        <f>+'[5]JULIO 2016'!$H$1796</f>
        <v>19800000</v>
      </c>
      <c r="BY17" s="24"/>
      <c r="BZ17" s="24"/>
      <c r="CA17" s="24"/>
      <c r="CB17" s="24"/>
      <c r="CC17" s="24"/>
      <c r="CD17" s="24"/>
      <c r="CE17" s="24"/>
      <c r="CF17" s="24"/>
      <c r="CG17" s="24"/>
      <c r="CH17" s="24"/>
      <c r="CI17" s="24"/>
      <c r="CJ17" s="24"/>
      <c r="CK17" s="24"/>
      <c r="CL17" s="24"/>
      <c r="CM17" s="24"/>
      <c r="CN17" s="25">
        <f t="shared" si="12"/>
        <v>0.3571428571428571</v>
      </c>
      <c r="CO17" s="24">
        <f t="shared" si="13"/>
        <v>11000000</v>
      </c>
      <c r="CP17" s="24">
        <f t="shared" si="14"/>
        <v>0</v>
      </c>
      <c r="CQ17" s="24">
        <f t="shared" si="14"/>
        <v>0</v>
      </c>
      <c r="CR17" s="24">
        <f t="shared" si="14"/>
        <v>0</v>
      </c>
      <c r="CS17" s="24">
        <f t="shared" si="14"/>
        <v>11000000</v>
      </c>
      <c r="CT17" s="24">
        <f t="shared" si="14"/>
        <v>0</v>
      </c>
      <c r="CU17" s="24">
        <f t="shared" si="14"/>
        <v>0</v>
      </c>
      <c r="CV17" s="24">
        <f>N17-CA17</f>
        <v>0</v>
      </c>
      <c r="CW17" s="24">
        <f>O17-CB17</f>
        <v>0</v>
      </c>
      <c r="CX17" s="24">
        <f>P17-CC17</f>
        <v>0</v>
      </c>
      <c r="CY17" s="24">
        <f t="shared" si="16"/>
        <v>0</v>
      </c>
      <c r="CZ17" s="24">
        <f t="shared" si="16"/>
        <v>0</v>
      </c>
      <c r="DA17" s="24">
        <f t="shared" si="16"/>
        <v>0</v>
      </c>
      <c r="DB17" s="24">
        <f>T17-CG17</f>
        <v>0</v>
      </c>
      <c r="DC17" s="24">
        <f>U17-CH17</f>
        <v>0</v>
      </c>
      <c r="DD17" s="24">
        <f>V17-CI17</f>
        <v>0</v>
      </c>
      <c r="DE17" s="24"/>
      <c r="DF17" s="24">
        <f>X17-CK17</f>
        <v>0</v>
      </c>
      <c r="DG17" s="24">
        <f>Y17-CL17</f>
        <v>0</v>
      </c>
      <c r="DH17" s="24">
        <f>Z17-CM17</f>
        <v>0</v>
      </c>
    </row>
    <row r="18" spans="1:112" ht="30" x14ac:dyDescent="0.25">
      <c r="A18" s="30"/>
      <c r="B18" s="214" t="s">
        <v>80</v>
      </c>
      <c r="C18" s="20" t="s">
        <v>81</v>
      </c>
      <c r="D18" s="21" t="s">
        <v>82</v>
      </c>
      <c r="E18" s="22">
        <v>510</v>
      </c>
      <c r="F18" s="23" t="s">
        <v>43</v>
      </c>
      <c r="G18" s="24">
        <f t="shared" si="0"/>
        <v>9057037</v>
      </c>
      <c r="H18" s="24"/>
      <c r="I18" s="24"/>
      <c r="J18" s="24"/>
      <c r="K18" s="24">
        <f>17000000-7942963</f>
        <v>9057037</v>
      </c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5">
        <f t="shared" si="1"/>
        <v>1</v>
      </c>
      <c r="AB18" s="24">
        <f t="shared" si="2"/>
        <v>9057037</v>
      </c>
      <c r="AC18" s="24"/>
      <c r="AD18" s="24"/>
      <c r="AE18" s="24"/>
      <c r="AF18" s="24"/>
      <c r="AG18" s="24">
        <f>+'[5]JULIO 2016'!$O$1808</f>
        <v>9057037</v>
      </c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5">
        <f t="shared" si="3"/>
        <v>0</v>
      </c>
      <c r="AX18" s="24">
        <f t="shared" si="4"/>
        <v>0</v>
      </c>
      <c r="AY18" s="24">
        <f t="shared" ref="AY18:BA19" si="21">H18-AD18</f>
        <v>0</v>
      </c>
      <c r="AZ18" s="24">
        <f t="shared" si="21"/>
        <v>0</v>
      </c>
      <c r="BA18" s="24">
        <f t="shared" si="21"/>
        <v>0</v>
      </c>
      <c r="BB18" s="24">
        <f>+K18-AG18</f>
        <v>0</v>
      </c>
      <c r="BC18" s="24">
        <f t="shared" ref="BC18:BM19" si="22">+L18-AH18</f>
        <v>0</v>
      </c>
      <c r="BD18" s="24">
        <f t="shared" si="22"/>
        <v>0</v>
      </c>
      <c r="BE18" s="24">
        <f t="shared" si="22"/>
        <v>0</v>
      </c>
      <c r="BF18" s="24">
        <f t="shared" si="22"/>
        <v>0</v>
      </c>
      <c r="BG18" s="24">
        <f t="shared" si="22"/>
        <v>0</v>
      </c>
      <c r="BH18" s="24">
        <f t="shared" si="22"/>
        <v>0</v>
      </c>
      <c r="BI18" s="24">
        <f t="shared" si="22"/>
        <v>0</v>
      </c>
      <c r="BJ18" s="24">
        <f t="shared" si="22"/>
        <v>0</v>
      </c>
      <c r="BK18" s="24">
        <f t="shared" si="22"/>
        <v>0</v>
      </c>
      <c r="BL18" s="24">
        <f t="shared" si="22"/>
        <v>0</v>
      </c>
      <c r="BM18" s="24">
        <f t="shared" si="22"/>
        <v>0</v>
      </c>
      <c r="BN18" s="24"/>
      <c r="BO18" s="24"/>
      <c r="BP18" s="24">
        <f>Y18-AU18</f>
        <v>0</v>
      </c>
      <c r="BQ18" s="24">
        <f>+Z18-AV18</f>
        <v>0</v>
      </c>
      <c r="BR18" s="25">
        <f t="shared" si="10"/>
        <v>1</v>
      </c>
      <c r="BS18" s="24">
        <f t="shared" si="11"/>
        <v>9057037</v>
      </c>
      <c r="BT18" s="24"/>
      <c r="BU18" s="24"/>
      <c r="BV18" s="24"/>
      <c r="BW18" s="24"/>
      <c r="BX18" s="24">
        <f>+'[5]JULIO 2016'!$H$1806</f>
        <v>9057037</v>
      </c>
      <c r="BY18" s="24"/>
      <c r="BZ18" s="24"/>
      <c r="CA18" s="24"/>
      <c r="CB18" s="24"/>
      <c r="CC18" s="24"/>
      <c r="CD18" s="24"/>
      <c r="CE18" s="24"/>
      <c r="CF18" s="24"/>
      <c r="CG18" s="24"/>
      <c r="CH18" s="24"/>
      <c r="CI18" s="24"/>
      <c r="CJ18" s="24"/>
      <c r="CK18" s="24"/>
      <c r="CL18" s="24"/>
      <c r="CM18" s="24"/>
      <c r="CN18" s="25">
        <f t="shared" si="12"/>
        <v>0</v>
      </c>
      <c r="CO18" s="24">
        <f t="shared" si="13"/>
        <v>0</v>
      </c>
      <c r="CP18" s="24">
        <f t="shared" si="14"/>
        <v>0</v>
      </c>
      <c r="CQ18" s="24">
        <f t="shared" si="14"/>
        <v>0</v>
      </c>
      <c r="CR18" s="24">
        <f t="shared" si="14"/>
        <v>0</v>
      </c>
      <c r="CS18" s="24">
        <f t="shared" si="14"/>
        <v>0</v>
      </c>
      <c r="CT18" s="24">
        <f t="shared" si="14"/>
        <v>0</v>
      </c>
      <c r="CU18" s="24">
        <f t="shared" si="14"/>
        <v>0</v>
      </c>
      <c r="CV18" s="24">
        <f t="shared" ref="CV18:CX19" si="23">+N18-CA18</f>
        <v>0</v>
      </c>
      <c r="CW18" s="24">
        <f t="shared" si="23"/>
        <v>0</v>
      </c>
      <c r="CX18" s="24">
        <f t="shared" si="23"/>
        <v>0</v>
      </c>
      <c r="CY18" s="24">
        <f t="shared" si="16"/>
        <v>0</v>
      </c>
      <c r="CZ18" s="24">
        <f t="shared" si="16"/>
        <v>0</v>
      </c>
      <c r="DA18" s="24">
        <f t="shared" si="16"/>
        <v>0</v>
      </c>
      <c r="DB18" s="24">
        <f t="shared" ref="DB18:DD19" si="24">+T18-CG18</f>
        <v>0</v>
      </c>
      <c r="DC18" s="24">
        <f t="shared" si="24"/>
        <v>0</v>
      </c>
      <c r="DD18" s="24">
        <f t="shared" si="24"/>
        <v>0</v>
      </c>
      <c r="DE18" s="24"/>
      <c r="DF18" s="24">
        <f t="shared" ref="DF18:DH19" si="25">+X18-CK18</f>
        <v>0</v>
      </c>
      <c r="DG18" s="24">
        <f t="shared" si="25"/>
        <v>0</v>
      </c>
      <c r="DH18" s="24">
        <f t="shared" si="25"/>
        <v>0</v>
      </c>
    </row>
    <row r="19" spans="1:112" ht="28.5" customHeight="1" x14ac:dyDescent="0.25">
      <c r="A19" s="35"/>
      <c r="B19" s="215"/>
      <c r="C19" s="20" t="s">
        <v>83</v>
      </c>
      <c r="D19" s="21" t="s">
        <v>84</v>
      </c>
      <c r="E19" s="22">
        <v>510</v>
      </c>
      <c r="F19" s="23" t="s">
        <v>85</v>
      </c>
      <c r="G19" s="24">
        <f t="shared" si="0"/>
        <v>74942963</v>
      </c>
      <c r="H19" s="24"/>
      <c r="I19" s="24"/>
      <c r="J19" s="24"/>
      <c r="K19" s="24">
        <f>40000000+7942963</f>
        <v>47942963</v>
      </c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>
        <f>21000000+6000000</f>
        <v>27000000</v>
      </c>
      <c r="AA19" s="25">
        <f t="shared" si="1"/>
        <v>0.7770639652985164</v>
      </c>
      <c r="AB19" s="24">
        <f t="shared" si="2"/>
        <v>58235476</v>
      </c>
      <c r="AC19" s="24"/>
      <c r="AD19" s="24"/>
      <c r="AE19" s="24"/>
      <c r="AF19" s="24"/>
      <c r="AG19" s="24">
        <f>+'[4]AGOSTO 2016'!$O$2418</f>
        <v>37235476</v>
      </c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>
        <f>+'[4]AGOSTO 2016'!$AG$2418</f>
        <v>21000000</v>
      </c>
      <c r="AW19" s="25">
        <f t="shared" si="3"/>
        <v>0.2229360347014836</v>
      </c>
      <c r="AX19" s="24">
        <f t="shared" si="4"/>
        <v>16707487</v>
      </c>
      <c r="AY19" s="24">
        <f t="shared" si="21"/>
        <v>0</v>
      </c>
      <c r="AZ19" s="24">
        <f t="shared" si="21"/>
        <v>0</v>
      </c>
      <c r="BA19" s="24">
        <f t="shared" si="21"/>
        <v>0</v>
      </c>
      <c r="BB19" s="24">
        <f>+K19-AG19</f>
        <v>10707487</v>
      </c>
      <c r="BC19" s="24">
        <f t="shared" si="22"/>
        <v>0</v>
      </c>
      <c r="BD19" s="24">
        <f t="shared" si="22"/>
        <v>0</v>
      </c>
      <c r="BE19" s="24">
        <f t="shared" si="22"/>
        <v>0</v>
      </c>
      <c r="BF19" s="24">
        <f t="shared" si="22"/>
        <v>0</v>
      </c>
      <c r="BG19" s="24">
        <f t="shared" si="22"/>
        <v>0</v>
      </c>
      <c r="BH19" s="24">
        <f t="shared" si="22"/>
        <v>0</v>
      </c>
      <c r="BI19" s="24">
        <f t="shared" si="22"/>
        <v>0</v>
      </c>
      <c r="BJ19" s="24">
        <f t="shared" si="22"/>
        <v>0</v>
      </c>
      <c r="BK19" s="24">
        <f t="shared" si="22"/>
        <v>0</v>
      </c>
      <c r="BL19" s="24">
        <f t="shared" si="22"/>
        <v>0</v>
      </c>
      <c r="BM19" s="24">
        <f t="shared" si="22"/>
        <v>0</v>
      </c>
      <c r="BN19" s="24"/>
      <c r="BO19" s="24"/>
      <c r="BP19" s="24">
        <f>Y19-AU19</f>
        <v>0</v>
      </c>
      <c r="BQ19" s="24">
        <f>+Z19-AV19</f>
        <v>6000000</v>
      </c>
      <c r="BR19" s="25">
        <f t="shared" si="10"/>
        <v>0.57968335199130039</v>
      </c>
      <c r="BS19" s="24">
        <f t="shared" si="11"/>
        <v>43443188</v>
      </c>
      <c r="BT19" s="24"/>
      <c r="BU19" s="24"/>
      <c r="BV19" s="24"/>
      <c r="BW19" s="24"/>
      <c r="BX19" s="24">
        <f>+'[1]SEPTIEMBRE 2016'!$H$2843+'[1]SEPTIEMBRE 2016'!$H$2845+'[1]SEPTIEMBRE 2016'!$H$2847+'[1]SEPTIEMBRE 2016'!$H$2849+'[1]SEPTIEMBRE 2016'!$H$2854+'[1]SEPTIEMBRE 2016'!$H$2857</f>
        <v>35730190</v>
      </c>
      <c r="BY19" s="24"/>
      <c r="BZ19" s="24"/>
      <c r="CA19" s="24"/>
      <c r="CB19" s="24"/>
      <c r="CC19" s="24"/>
      <c r="CD19" s="24"/>
      <c r="CE19" s="24"/>
      <c r="CF19" s="24"/>
      <c r="CG19" s="24"/>
      <c r="CH19" s="24"/>
      <c r="CI19" s="24"/>
      <c r="CJ19" s="24"/>
      <c r="CK19" s="24"/>
      <c r="CL19" s="24"/>
      <c r="CM19" s="24">
        <f>+'[1]SEPTIEMBRE 2016'!$H$2860</f>
        <v>7712998</v>
      </c>
      <c r="CN19" s="25">
        <f t="shared" si="12"/>
        <v>0.42031664800869961</v>
      </c>
      <c r="CO19" s="24">
        <f t="shared" si="13"/>
        <v>31499775</v>
      </c>
      <c r="CP19" s="24">
        <f t="shared" si="14"/>
        <v>0</v>
      </c>
      <c r="CQ19" s="24">
        <f t="shared" si="14"/>
        <v>0</v>
      </c>
      <c r="CR19" s="24">
        <f t="shared" si="14"/>
        <v>0</v>
      </c>
      <c r="CS19" s="24">
        <f t="shared" si="14"/>
        <v>12212773</v>
      </c>
      <c r="CT19" s="24">
        <f t="shared" si="14"/>
        <v>0</v>
      </c>
      <c r="CU19" s="24">
        <f t="shared" si="14"/>
        <v>0</v>
      </c>
      <c r="CV19" s="24">
        <f t="shared" si="23"/>
        <v>0</v>
      </c>
      <c r="CW19" s="24">
        <f t="shared" si="23"/>
        <v>0</v>
      </c>
      <c r="CX19" s="24">
        <f t="shared" si="23"/>
        <v>0</v>
      </c>
      <c r="CY19" s="24">
        <f t="shared" si="16"/>
        <v>0</v>
      </c>
      <c r="CZ19" s="24">
        <f t="shared" si="16"/>
        <v>0</v>
      </c>
      <c r="DA19" s="24">
        <f t="shared" si="16"/>
        <v>0</v>
      </c>
      <c r="DB19" s="24">
        <f t="shared" si="24"/>
        <v>0</v>
      </c>
      <c r="DC19" s="24">
        <f t="shared" si="24"/>
        <v>0</v>
      </c>
      <c r="DD19" s="24">
        <f t="shared" si="24"/>
        <v>0</v>
      </c>
      <c r="DE19" s="24"/>
      <c r="DF19" s="24">
        <f t="shared" si="25"/>
        <v>0</v>
      </c>
      <c r="DG19" s="24">
        <f t="shared" si="25"/>
        <v>0</v>
      </c>
      <c r="DH19" s="24">
        <f t="shared" si="25"/>
        <v>19287002</v>
      </c>
    </row>
    <row r="20" spans="1:112" s="43" customFormat="1" ht="17.25" customHeight="1" thickBot="1" x14ac:dyDescent="0.3">
      <c r="A20" s="36"/>
      <c r="B20" s="234" t="s">
        <v>86</v>
      </c>
      <c r="C20" s="235"/>
      <c r="D20" s="235"/>
      <c r="E20" s="236"/>
      <c r="F20" s="37"/>
      <c r="G20" s="38">
        <f t="shared" ref="G20:V20" si="26">SUM(G4:G19)</f>
        <v>1457480977</v>
      </c>
      <c r="H20" s="38">
        <f t="shared" si="26"/>
        <v>0</v>
      </c>
      <c r="I20" s="38">
        <f t="shared" si="26"/>
        <v>450000000</v>
      </c>
      <c r="J20" s="38">
        <f t="shared" si="26"/>
        <v>0</v>
      </c>
      <c r="K20" s="38">
        <f t="shared" si="26"/>
        <v>749568554</v>
      </c>
      <c r="L20" s="38">
        <f t="shared" si="26"/>
        <v>14004396</v>
      </c>
      <c r="M20" s="38">
        <f t="shared" si="26"/>
        <v>0</v>
      </c>
      <c r="N20" s="38">
        <f t="shared" si="26"/>
        <v>0</v>
      </c>
      <c r="O20" s="38">
        <f t="shared" si="26"/>
        <v>0</v>
      </c>
      <c r="P20" s="38">
        <f t="shared" si="26"/>
        <v>0</v>
      </c>
      <c r="Q20" s="38">
        <f t="shared" si="26"/>
        <v>0</v>
      </c>
      <c r="R20" s="38">
        <f t="shared" si="26"/>
        <v>0</v>
      </c>
      <c r="S20" s="38">
        <f t="shared" si="26"/>
        <v>30431446</v>
      </c>
      <c r="T20" s="38">
        <f t="shared" si="26"/>
        <v>1796640</v>
      </c>
      <c r="U20" s="38">
        <f t="shared" si="26"/>
        <v>0</v>
      </c>
      <c r="V20" s="38">
        <f t="shared" si="26"/>
        <v>0</v>
      </c>
      <c r="W20" s="38"/>
      <c r="X20" s="38">
        <f>SUM(X4:X19)</f>
        <v>0</v>
      </c>
      <c r="Y20" s="38">
        <f>SUM(Y4:Y19)</f>
        <v>0</v>
      </c>
      <c r="Z20" s="38">
        <f>SUM(Z4:Z19)</f>
        <v>211679941</v>
      </c>
      <c r="AA20" s="39">
        <f t="shared" si="1"/>
        <v>0.71108679314172618</v>
      </c>
      <c r="AB20" s="40">
        <f>SUM(AB4:AB19)</f>
        <v>1036395474</v>
      </c>
      <c r="AC20" s="40"/>
      <c r="AD20" s="40">
        <f t="shared" ref="AD20:AV20" si="27">SUM(AD4:AD19)</f>
        <v>0</v>
      </c>
      <c r="AE20" s="40">
        <f t="shared" si="27"/>
        <v>152934046</v>
      </c>
      <c r="AF20" s="40">
        <f t="shared" si="27"/>
        <v>0</v>
      </c>
      <c r="AG20" s="40">
        <f t="shared" si="27"/>
        <v>696250590</v>
      </c>
      <c r="AH20" s="40">
        <f t="shared" si="27"/>
        <v>14004396</v>
      </c>
      <c r="AI20" s="40">
        <f t="shared" si="27"/>
        <v>0</v>
      </c>
      <c r="AJ20" s="40">
        <f t="shared" si="27"/>
        <v>0</v>
      </c>
      <c r="AK20" s="40">
        <f t="shared" si="27"/>
        <v>0</v>
      </c>
      <c r="AL20" s="40">
        <f t="shared" si="27"/>
        <v>0</v>
      </c>
      <c r="AM20" s="40">
        <f t="shared" si="27"/>
        <v>0</v>
      </c>
      <c r="AN20" s="40">
        <f t="shared" si="27"/>
        <v>0</v>
      </c>
      <c r="AO20" s="40">
        <f t="shared" si="27"/>
        <v>23188762</v>
      </c>
      <c r="AP20" s="40">
        <f t="shared" si="27"/>
        <v>1796640</v>
      </c>
      <c r="AQ20" s="40">
        <f t="shared" si="27"/>
        <v>0</v>
      </c>
      <c r="AR20" s="40">
        <f t="shared" si="27"/>
        <v>0</v>
      </c>
      <c r="AS20" s="40">
        <f t="shared" si="27"/>
        <v>0</v>
      </c>
      <c r="AT20" s="40">
        <f t="shared" si="27"/>
        <v>0</v>
      </c>
      <c r="AU20" s="40">
        <f t="shared" si="27"/>
        <v>0</v>
      </c>
      <c r="AV20" s="40">
        <f t="shared" si="27"/>
        <v>148221040</v>
      </c>
      <c r="AW20" s="41">
        <f t="shared" si="3"/>
        <v>0.28891320685827382</v>
      </c>
      <c r="AX20" s="40">
        <f t="shared" ref="AX20:BM20" si="28">SUM(AX4:AX19)</f>
        <v>421085503</v>
      </c>
      <c r="AY20" s="40">
        <f t="shared" si="28"/>
        <v>0</v>
      </c>
      <c r="AZ20" s="40">
        <f t="shared" si="28"/>
        <v>297065954</v>
      </c>
      <c r="BA20" s="40">
        <f t="shared" si="28"/>
        <v>0</v>
      </c>
      <c r="BB20" s="40">
        <f t="shared" si="28"/>
        <v>53317964</v>
      </c>
      <c r="BC20" s="40">
        <f t="shared" si="28"/>
        <v>0</v>
      </c>
      <c r="BD20" s="40">
        <f t="shared" si="28"/>
        <v>0</v>
      </c>
      <c r="BE20" s="40">
        <f t="shared" si="28"/>
        <v>0</v>
      </c>
      <c r="BF20" s="40">
        <f t="shared" si="28"/>
        <v>0</v>
      </c>
      <c r="BG20" s="40">
        <f t="shared" si="28"/>
        <v>0</v>
      </c>
      <c r="BH20" s="40">
        <f t="shared" si="28"/>
        <v>0</v>
      </c>
      <c r="BI20" s="40">
        <f t="shared" si="28"/>
        <v>0</v>
      </c>
      <c r="BJ20" s="40">
        <f t="shared" si="28"/>
        <v>7242684</v>
      </c>
      <c r="BK20" s="40">
        <f t="shared" si="28"/>
        <v>0</v>
      </c>
      <c r="BL20" s="40">
        <f t="shared" si="28"/>
        <v>0</v>
      </c>
      <c r="BM20" s="40">
        <f t="shared" si="28"/>
        <v>0</v>
      </c>
      <c r="BN20" s="40"/>
      <c r="BO20" s="40">
        <f>SUM(BO4:BO19)</f>
        <v>0</v>
      </c>
      <c r="BP20" s="40">
        <f>SUM(BP4:BP19)</f>
        <v>0</v>
      </c>
      <c r="BQ20" s="40">
        <f>SUM(BQ4:BQ19)</f>
        <v>63458901</v>
      </c>
      <c r="BR20" s="41">
        <f t="shared" si="10"/>
        <v>0.59736329100643903</v>
      </c>
      <c r="BS20" s="40">
        <f t="shared" ref="BS20:CI20" si="29">SUM(BS4:BS19)</f>
        <v>870645633</v>
      </c>
      <c r="BT20" s="40">
        <f t="shared" si="29"/>
        <v>0</v>
      </c>
      <c r="BU20" s="40">
        <f t="shared" si="29"/>
        <v>0</v>
      </c>
      <c r="BV20" s="40">
        <f t="shared" si="29"/>
        <v>124254160</v>
      </c>
      <c r="BW20" s="40">
        <f t="shared" si="29"/>
        <v>0</v>
      </c>
      <c r="BX20" s="40">
        <f t="shared" si="29"/>
        <v>574306733</v>
      </c>
      <c r="BY20" s="40">
        <f t="shared" si="29"/>
        <v>14004396</v>
      </c>
      <c r="BZ20" s="40">
        <f t="shared" si="29"/>
        <v>0</v>
      </c>
      <c r="CA20" s="40">
        <f t="shared" si="29"/>
        <v>0</v>
      </c>
      <c r="CB20" s="40">
        <f t="shared" si="29"/>
        <v>0</v>
      </c>
      <c r="CC20" s="40">
        <f t="shared" si="29"/>
        <v>0</v>
      </c>
      <c r="CD20" s="40">
        <f t="shared" si="29"/>
        <v>0</v>
      </c>
      <c r="CE20" s="40">
        <f t="shared" si="29"/>
        <v>0</v>
      </c>
      <c r="CF20" s="40">
        <f t="shared" si="29"/>
        <v>23178230</v>
      </c>
      <c r="CG20" s="40">
        <f t="shared" si="29"/>
        <v>1796640</v>
      </c>
      <c r="CH20" s="40">
        <f t="shared" si="29"/>
        <v>0</v>
      </c>
      <c r="CI20" s="40">
        <f t="shared" si="29"/>
        <v>0</v>
      </c>
      <c r="CJ20" s="40"/>
      <c r="CK20" s="40">
        <f>SUM(CK4:CK19)</f>
        <v>0</v>
      </c>
      <c r="CL20" s="40">
        <f>SUM(CL4:CL19)</f>
        <v>0</v>
      </c>
      <c r="CM20" s="40">
        <f>SUM(CM4:CM19)</f>
        <v>133105474</v>
      </c>
      <c r="CN20" s="41">
        <f t="shared" si="12"/>
        <v>0.40263670899356097</v>
      </c>
      <c r="CO20" s="40">
        <f t="shared" ref="CO20:DH20" si="30">SUM(CO4:CO19)</f>
        <v>586835344</v>
      </c>
      <c r="CP20" s="40">
        <f t="shared" si="30"/>
        <v>0</v>
      </c>
      <c r="CQ20" s="40">
        <f t="shared" si="30"/>
        <v>325745840</v>
      </c>
      <c r="CR20" s="40">
        <f t="shared" si="30"/>
        <v>0</v>
      </c>
      <c r="CS20" s="40">
        <f t="shared" si="30"/>
        <v>175261821</v>
      </c>
      <c r="CT20" s="40">
        <f t="shared" si="30"/>
        <v>0</v>
      </c>
      <c r="CU20" s="40">
        <f t="shared" si="30"/>
        <v>0</v>
      </c>
      <c r="CV20" s="40">
        <f t="shared" si="30"/>
        <v>0</v>
      </c>
      <c r="CW20" s="40">
        <f t="shared" si="30"/>
        <v>0</v>
      </c>
      <c r="CX20" s="40">
        <f t="shared" si="30"/>
        <v>0</v>
      </c>
      <c r="CY20" s="40">
        <f t="shared" si="30"/>
        <v>0</v>
      </c>
      <c r="CZ20" s="40">
        <f t="shared" si="30"/>
        <v>0</v>
      </c>
      <c r="DA20" s="40">
        <f t="shared" si="30"/>
        <v>7253216</v>
      </c>
      <c r="DB20" s="40">
        <f t="shared" si="30"/>
        <v>0</v>
      </c>
      <c r="DC20" s="40">
        <f t="shared" si="30"/>
        <v>0</v>
      </c>
      <c r="DD20" s="40">
        <f t="shared" si="30"/>
        <v>0</v>
      </c>
      <c r="DE20" s="40">
        <f t="shared" si="30"/>
        <v>0</v>
      </c>
      <c r="DF20" s="40">
        <f t="shared" si="30"/>
        <v>0</v>
      </c>
      <c r="DG20" s="40">
        <f t="shared" si="30"/>
        <v>0</v>
      </c>
      <c r="DH20" s="42">
        <f t="shared" si="30"/>
        <v>78574467</v>
      </c>
    </row>
    <row r="21" spans="1:112" ht="40.5" customHeight="1" thickTop="1" x14ac:dyDescent="0.25">
      <c r="A21" s="19" t="s">
        <v>87</v>
      </c>
      <c r="B21" s="237" t="s">
        <v>88</v>
      </c>
      <c r="C21" s="20" t="s">
        <v>89</v>
      </c>
      <c r="D21" s="21" t="s">
        <v>90</v>
      </c>
      <c r="E21" s="22">
        <v>410</v>
      </c>
      <c r="F21" s="44" t="s">
        <v>91</v>
      </c>
      <c r="G21" s="24">
        <f t="shared" ref="G21:G59" si="31">SUM(H21:Z21)</f>
        <v>450000000</v>
      </c>
      <c r="H21" s="45"/>
      <c r="I21" s="24">
        <v>450000000</v>
      </c>
      <c r="J21" s="46"/>
      <c r="K21" s="24"/>
      <c r="L21" s="45"/>
      <c r="M21" s="46"/>
      <c r="N21" s="46"/>
      <c r="O21" s="46"/>
      <c r="P21" s="46"/>
      <c r="Q21" s="47"/>
      <c r="R21" s="46"/>
      <c r="S21" s="46"/>
      <c r="T21" s="46"/>
      <c r="U21" s="46"/>
      <c r="V21" s="46"/>
      <c r="W21" s="46"/>
      <c r="X21" s="46"/>
      <c r="Y21" s="46"/>
      <c r="Z21" s="46"/>
      <c r="AA21" s="48">
        <f t="shared" si="1"/>
        <v>0.99897389333333331</v>
      </c>
      <c r="AB21" s="24">
        <f t="shared" ref="AB21:AB59" si="32">SUM(AC21:AV21)</f>
        <v>449538252</v>
      </c>
      <c r="AC21" s="24"/>
      <c r="AD21" s="24"/>
      <c r="AE21" s="24">
        <f>+'[4]AGOSTO 2016'!$M$962</f>
        <v>449538252</v>
      </c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5">
        <f t="shared" si="3"/>
        <v>1.0261066666666929E-3</v>
      </c>
      <c r="AX21" s="24">
        <f t="shared" ref="AX21:AX59" si="33">SUM(AY21:BQ21)</f>
        <v>461748</v>
      </c>
      <c r="AY21" s="24">
        <f t="shared" ref="AY21:BA36" si="34">H21-AD21</f>
        <v>0</v>
      </c>
      <c r="AZ21" s="24">
        <f t="shared" si="34"/>
        <v>461748</v>
      </c>
      <c r="BA21" s="24">
        <f t="shared" si="34"/>
        <v>0</v>
      </c>
      <c r="BB21" s="24">
        <f t="shared" ref="BB21:BM23" si="35">+K21-AG21</f>
        <v>0</v>
      </c>
      <c r="BC21" s="24">
        <f t="shared" si="35"/>
        <v>0</v>
      </c>
      <c r="BD21" s="24">
        <f t="shared" si="35"/>
        <v>0</v>
      </c>
      <c r="BE21" s="24">
        <f t="shared" si="35"/>
        <v>0</v>
      </c>
      <c r="BF21" s="24">
        <f t="shared" si="35"/>
        <v>0</v>
      </c>
      <c r="BG21" s="24">
        <f t="shared" si="35"/>
        <v>0</v>
      </c>
      <c r="BH21" s="24">
        <f t="shared" si="35"/>
        <v>0</v>
      </c>
      <c r="BI21" s="24">
        <f t="shared" si="35"/>
        <v>0</v>
      </c>
      <c r="BJ21" s="24">
        <f t="shared" si="35"/>
        <v>0</v>
      </c>
      <c r="BK21" s="24">
        <f t="shared" si="35"/>
        <v>0</v>
      </c>
      <c r="BL21" s="24">
        <f t="shared" si="35"/>
        <v>0</v>
      </c>
      <c r="BM21" s="24">
        <f t="shared" si="35"/>
        <v>0</v>
      </c>
      <c r="BN21" s="24"/>
      <c r="BO21" s="24"/>
      <c r="BP21" s="24"/>
      <c r="BQ21" s="24">
        <f>+Z21-AV21</f>
        <v>0</v>
      </c>
      <c r="BR21" s="25">
        <f t="shared" si="10"/>
        <v>0.99897389333333331</v>
      </c>
      <c r="BS21" s="24">
        <f t="shared" ref="BS21:BS59" si="36">SUM(BT21:CM21)</f>
        <v>449538252</v>
      </c>
      <c r="BT21" s="24"/>
      <c r="BU21" s="24"/>
      <c r="BV21" s="24">
        <f>+'[1]SEPTIEMBRE 2016'!$H$1163</f>
        <v>449538252</v>
      </c>
      <c r="BW21" s="24"/>
      <c r="BX21" s="24"/>
      <c r="BY21" s="24"/>
      <c r="BZ21" s="24"/>
      <c r="CA21" s="24"/>
      <c r="CB21" s="24"/>
      <c r="CC21" s="24"/>
      <c r="CD21" s="24"/>
      <c r="CE21" s="24"/>
      <c r="CF21" s="24"/>
      <c r="CG21" s="24"/>
      <c r="CH21" s="24"/>
      <c r="CI21" s="24"/>
      <c r="CJ21" s="24"/>
      <c r="CK21" s="24"/>
      <c r="CL21" s="24"/>
      <c r="CM21" s="24"/>
      <c r="CN21" s="25">
        <f t="shared" si="12"/>
        <v>1.0261066666666929E-3</v>
      </c>
      <c r="CO21" s="24">
        <f t="shared" ref="CO21:CO59" si="37">SUM(CP21:DH21)</f>
        <v>461748</v>
      </c>
      <c r="CP21" s="24">
        <f t="shared" ref="CP21:CU36" si="38">H21-BU21</f>
        <v>0</v>
      </c>
      <c r="CQ21" s="24">
        <f t="shared" si="38"/>
        <v>461748</v>
      </c>
      <c r="CR21" s="24">
        <f t="shared" si="38"/>
        <v>0</v>
      </c>
      <c r="CS21" s="24">
        <f t="shared" si="38"/>
        <v>0</v>
      </c>
      <c r="CT21" s="24">
        <f t="shared" si="38"/>
        <v>0</v>
      </c>
      <c r="CU21" s="24">
        <f t="shared" si="38"/>
        <v>0</v>
      </c>
      <c r="CV21" s="24">
        <f t="shared" ref="CV21:CX23" si="39">+N21-CA21</f>
        <v>0</v>
      </c>
      <c r="CW21" s="24">
        <f t="shared" si="39"/>
        <v>0</v>
      </c>
      <c r="CX21" s="24">
        <f t="shared" si="39"/>
        <v>0</v>
      </c>
      <c r="CY21" s="24">
        <f t="shared" ref="CY21:DA23" si="40">Q21-CD21</f>
        <v>0</v>
      </c>
      <c r="CZ21" s="24">
        <f t="shared" si="40"/>
        <v>0</v>
      </c>
      <c r="DA21" s="24">
        <f t="shared" si="40"/>
        <v>0</v>
      </c>
      <c r="DB21" s="24">
        <f t="shared" ref="DB21:DD23" si="41">+T21-CG21</f>
        <v>0</v>
      </c>
      <c r="DC21" s="24">
        <f t="shared" si="41"/>
        <v>0</v>
      </c>
      <c r="DD21" s="24">
        <f t="shared" si="41"/>
        <v>0</v>
      </c>
      <c r="DE21" s="24"/>
      <c r="DF21" s="24">
        <f t="shared" ref="DF21:DH23" si="42">+X21-CK21</f>
        <v>0</v>
      </c>
      <c r="DG21" s="24">
        <f t="shared" si="42"/>
        <v>0</v>
      </c>
      <c r="DH21" s="24">
        <f t="shared" si="42"/>
        <v>0</v>
      </c>
    </row>
    <row r="22" spans="1:112" ht="48.75" customHeight="1" x14ac:dyDescent="0.25">
      <c r="A22" s="30"/>
      <c r="B22" s="232"/>
      <c r="C22" s="20" t="s">
        <v>92</v>
      </c>
      <c r="D22" s="21" t="s">
        <v>93</v>
      </c>
      <c r="E22" s="22">
        <v>410</v>
      </c>
      <c r="F22" s="23" t="s">
        <v>91</v>
      </c>
      <c r="G22" s="24">
        <f t="shared" si="31"/>
        <v>150000000</v>
      </c>
      <c r="H22" s="24"/>
      <c r="I22" s="24">
        <v>150000000</v>
      </c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5">
        <f t="shared" si="1"/>
        <v>0.99787351999999996</v>
      </c>
      <c r="AB22" s="24">
        <f t="shared" si="32"/>
        <v>149681028</v>
      </c>
      <c r="AC22" s="24"/>
      <c r="AD22" s="24"/>
      <c r="AE22" s="24">
        <f>+'[1]SEPTIEMBRE 2016'!$M$1182</f>
        <v>149681028</v>
      </c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5">
        <f t="shared" si="3"/>
        <v>2.1264800000000417E-3</v>
      </c>
      <c r="AX22" s="24">
        <f t="shared" si="33"/>
        <v>318972</v>
      </c>
      <c r="AY22" s="24">
        <f t="shared" si="34"/>
        <v>0</v>
      </c>
      <c r="AZ22" s="24">
        <f t="shared" si="34"/>
        <v>318972</v>
      </c>
      <c r="BA22" s="24">
        <f t="shared" si="34"/>
        <v>0</v>
      </c>
      <c r="BB22" s="24">
        <f t="shared" si="35"/>
        <v>0</v>
      </c>
      <c r="BC22" s="24">
        <f t="shared" si="35"/>
        <v>0</v>
      </c>
      <c r="BD22" s="24">
        <f t="shared" si="35"/>
        <v>0</v>
      </c>
      <c r="BE22" s="24">
        <f t="shared" si="35"/>
        <v>0</v>
      </c>
      <c r="BF22" s="24">
        <f t="shared" si="35"/>
        <v>0</v>
      </c>
      <c r="BG22" s="24">
        <f t="shared" si="35"/>
        <v>0</v>
      </c>
      <c r="BH22" s="24">
        <f t="shared" si="35"/>
        <v>0</v>
      </c>
      <c r="BI22" s="24">
        <f t="shared" si="35"/>
        <v>0</v>
      </c>
      <c r="BJ22" s="24">
        <f t="shared" si="35"/>
        <v>0</v>
      </c>
      <c r="BK22" s="24">
        <f t="shared" si="35"/>
        <v>0</v>
      </c>
      <c r="BL22" s="24">
        <f t="shared" si="35"/>
        <v>0</v>
      </c>
      <c r="BM22" s="24">
        <f t="shared" si="35"/>
        <v>0</v>
      </c>
      <c r="BN22" s="24"/>
      <c r="BO22" s="24"/>
      <c r="BP22" s="24"/>
      <c r="BQ22" s="24">
        <f>+Z22-AV22</f>
        <v>0</v>
      </c>
      <c r="BR22" s="25">
        <f t="shared" si="10"/>
        <v>0.99258345333333331</v>
      </c>
      <c r="BS22" s="24">
        <f t="shared" si="36"/>
        <v>148887518</v>
      </c>
      <c r="BT22" s="24"/>
      <c r="BU22" s="24"/>
      <c r="BV22" s="24">
        <f>+'[1]SEPTIEMBRE 2016'!$H$1180</f>
        <v>148887518</v>
      </c>
      <c r="BW22" s="24"/>
      <c r="BX22" s="24"/>
      <c r="BY22" s="24"/>
      <c r="BZ22" s="24"/>
      <c r="CA22" s="24"/>
      <c r="CB22" s="24"/>
      <c r="CC22" s="24"/>
      <c r="CD22" s="24"/>
      <c r="CE22" s="24"/>
      <c r="CF22" s="24"/>
      <c r="CG22" s="24"/>
      <c r="CH22" s="24"/>
      <c r="CI22" s="24"/>
      <c r="CJ22" s="24"/>
      <c r="CK22" s="24"/>
      <c r="CL22" s="24"/>
      <c r="CM22" s="24"/>
      <c r="CN22" s="25">
        <f t="shared" si="12"/>
        <v>7.4165466666666902E-3</v>
      </c>
      <c r="CO22" s="24">
        <f t="shared" si="37"/>
        <v>1112482</v>
      </c>
      <c r="CP22" s="24">
        <f t="shared" si="38"/>
        <v>0</v>
      </c>
      <c r="CQ22" s="24">
        <f t="shared" si="38"/>
        <v>1112482</v>
      </c>
      <c r="CR22" s="24">
        <f t="shared" si="38"/>
        <v>0</v>
      </c>
      <c r="CS22" s="24">
        <f t="shared" si="38"/>
        <v>0</v>
      </c>
      <c r="CT22" s="24">
        <f t="shared" si="38"/>
        <v>0</v>
      </c>
      <c r="CU22" s="24">
        <f t="shared" si="38"/>
        <v>0</v>
      </c>
      <c r="CV22" s="24">
        <f t="shared" si="39"/>
        <v>0</v>
      </c>
      <c r="CW22" s="24">
        <f t="shared" si="39"/>
        <v>0</v>
      </c>
      <c r="CX22" s="24">
        <f t="shared" si="39"/>
        <v>0</v>
      </c>
      <c r="CY22" s="24">
        <f t="shared" si="40"/>
        <v>0</v>
      </c>
      <c r="CZ22" s="24">
        <f t="shared" si="40"/>
        <v>0</v>
      </c>
      <c r="DA22" s="24">
        <f t="shared" si="40"/>
        <v>0</v>
      </c>
      <c r="DB22" s="24">
        <f t="shared" si="41"/>
        <v>0</v>
      </c>
      <c r="DC22" s="24">
        <f t="shared" si="41"/>
        <v>0</v>
      </c>
      <c r="DD22" s="24">
        <f t="shared" si="41"/>
        <v>0</v>
      </c>
      <c r="DE22" s="24"/>
      <c r="DF22" s="24">
        <f t="shared" si="42"/>
        <v>0</v>
      </c>
      <c r="DG22" s="24">
        <f t="shared" si="42"/>
        <v>0</v>
      </c>
      <c r="DH22" s="24">
        <f t="shared" si="42"/>
        <v>0</v>
      </c>
    </row>
    <row r="23" spans="1:112" ht="33.75" customHeight="1" x14ac:dyDescent="0.25">
      <c r="A23" s="30"/>
      <c r="B23" s="233"/>
      <c r="C23" s="20" t="s">
        <v>94</v>
      </c>
      <c r="D23" s="21" t="s">
        <v>95</v>
      </c>
      <c r="E23" s="22">
        <v>410</v>
      </c>
      <c r="F23" s="23" t="s">
        <v>91</v>
      </c>
      <c r="G23" s="24">
        <f t="shared" si="31"/>
        <v>884325162</v>
      </c>
      <c r="H23" s="24"/>
      <c r="I23" s="24">
        <f>200000000+400000000+39616700+228708462</f>
        <v>868325162</v>
      </c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>
        <v>16000000</v>
      </c>
      <c r="AA23" s="25">
        <f t="shared" si="1"/>
        <v>0.99038815091410914</v>
      </c>
      <c r="AB23" s="24">
        <f t="shared" si="32"/>
        <v>875825162</v>
      </c>
      <c r="AC23" s="24"/>
      <c r="AD23" s="24"/>
      <c r="AE23" s="24">
        <f>+'[1]SEPTIEMBRE 2016'!$M$1198</f>
        <v>868325162</v>
      </c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>
        <f>+'[1]SEPTIEMBRE 2016'!$AG$1198</f>
        <v>7500000</v>
      </c>
      <c r="AW23" s="25">
        <f t="shared" si="3"/>
        <v>9.6118490858908556E-3</v>
      </c>
      <c r="AX23" s="24">
        <f t="shared" si="33"/>
        <v>8500000</v>
      </c>
      <c r="AY23" s="24">
        <f t="shared" si="34"/>
        <v>0</v>
      </c>
      <c r="AZ23" s="24">
        <f t="shared" si="34"/>
        <v>0</v>
      </c>
      <c r="BA23" s="24">
        <f t="shared" si="34"/>
        <v>0</v>
      </c>
      <c r="BB23" s="24">
        <f t="shared" si="35"/>
        <v>0</v>
      </c>
      <c r="BC23" s="24">
        <f t="shared" si="35"/>
        <v>0</v>
      </c>
      <c r="BD23" s="24">
        <f t="shared" si="35"/>
        <v>0</v>
      </c>
      <c r="BE23" s="24">
        <f t="shared" si="35"/>
        <v>0</v>
      </c>
      <c r="BF23" s="24">
        <f t="shared" si="35"/>
        <v>0</v>
      </c>
      <c r="BG23" s="24">
        <f t="shared" si="35"/>
        <v>0</v>
      </c>
      <c r="BH23" s="24">
        <f t="shared" si="35"/>
        <v>0</v>
      </c>
      <c r="BI23" s="24">
        <f t="shared" si="35"/>
        <v>0</v>
      </c>
      <c r="BJ23" s="24">
        <f t="shared" si="35"/>
        <v>0</v>
      </c>
      <c r="BK23" s="24">
        <f t="shared" si="35"/>
        <v>0</v>
      </c>
      <c r="BL23" s="24">
        <f t="shared" si="35"/>
        <v>0</v>
      </c>
      <c r="BM23" s="24">
        <f t="shared" si="35"/>
        <v>0</v>
      </c>
      <c r="BN23" s="24"/>
      <c r="BO23" s="24"/>
      <c r="BP23" s="24"/>
      <c r="BQ23" s="24">
        <f>+Z23-AV23</f>
        <v>8500000</v>
      </c>
      <c r="BR23" s="25">
        <f t="shared" si="10"/>
        <v>0.34404908180142907</v>
      </c>
      <c r="BS23" s="24">
        <f t="shared" si="36"/>
        <v>304251260</v>
      </c>
      <c r="BT23" s="24"/>
      <c r="BU23" s="24"/>
      <c r="BV23" s="24">
        <f>+'[1]SEPTIEMBRE 2016'!$H$1196-CM23</f>
        <v>296751260</v>
      </c>
      <c r="BW23" s="24"/>
      <c r="BX23" s="24"/>
      <c r="BY23" s="24"/>
      <c r="BZ23" s="24"/>
      <c r="CA23" s="24"/>
      <c r="CB23" s="24"/>
      <c r="CC23" s="24"/>
      <c r="CD23" s="24"/>
      <c r="CE23" s="24"/>
      <c r="CF23" s="24"/>
      <c r="CG23" s="24"/>
      <c r="CH23" s="24"/>
      <c r="CI23" s="24"/>
      <c r="CJ23" s="24"/>
      <c r="CK23" s="24"/>
      <c r="CL23" s="24"/>
      <c r="CM23" s="24">
        <v>7500000</v>
      </c>
      <c r="CN23" s="25">
        <f t="shared" si="12"/>
        <v>0.65595091819857099</v>
      </c>
      <c r="CO23" s="24">
        <f t="shared" si="37"/>
        <v>580073902</v>
      </c>
      <c r="CP23" s="24">
        <f t="shared" si="38"/>
        <v>0</v>
      </c>
      <c r="CQ23" s="24">
        <f t="shared" si="38"/>
        <v>571573902</v>
      </c>
      <c r="CR23" s="24">
        <f t="shared" si="38"/>
        <v>0</v>
      </c>
      <c r="CS23" s="24">
        <f t="shared" si="38"/>
        <v>0</v>
      </c>
      <c r="CT23" s="24">
        <f t="shared" si="38"/>
        <v>0</v>
      </c>
      <c r="CU23" s="24">
        <f t="shared" si="38"/>
        <v>0</v>
      </c>
      <c r="CV23" s="24">
        <f t="shared" si="39"/>
        <v>0</v>
      </c>
      <c r="CW23" s="24">
        <f t="shared" si="39"/>
        <v>0</v>
      </c>
      <c r="CX23" s="24">
        <f t="shared" si="39"/>
        <v>0</v>
      </c>
      <c r="CY23" s="24">
        <f t="shared" si="40"/>
        <v>0</v>
      </c>
      <c r="CZ23" s="24">
        <f t="shared" si="40"/>
        <v>0</v>
      </c>
      <c r="DA23" s="24">
        <f t="shared" si="40"/>
        <v>0</v>
      </c>
      <c r="DB23" s="24">
        <f t="shared" si="41"/>
        <v>0</v>
      </c>
      <c r="DC23" s="24">
        <f t="shared" si="41"/>
        <v>0</v>
      </c>
      <c r="DD23" s="24">
        <f t="shared" si="41"/>
        <v>0</v>
      </c>
      <c r="DE23" s="24"/>
      <c r="DF23" s="24">
        <f t="shared" si="42"/>
        <v>0</v>
      </c>
      <c r="DG23" s="24">
        <f t="shared" si="42"/>
        <v>0</v>
      </c>
      <c r="DH23" s="24">
        <f t="shared" si="42"/>
        <v>8500000</v>
      </c>
    </row>
    <row r="24" spans="1:112" ht="46.5" customHeight="1" x14ac:dyDescent="0.25">
      <c r="A24" s="30"/>
      <c r="B24" s="49"/>
      <c r="C24" s="20" t="s">
        <v>96</v>
      </c>
      <c r="D24" s="21" t="s">
        <v>97</v>
      </c>
      <c r="E24" s="22">
        <v>410</v>
      </c>
      <c r="F24" s="23" t="s">
        <v>91</v>
      </c>
      <c r="G24" s="24">
        <f t="shared" si="31"/>
        <v>50000000</v>
      </c>
      <c r="H24" s="24"/>
      <c r="I24" s="24">
        <v>50000000</v>
      </c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5">
        <f t="shared" si="1"/>
        <v>0.58499999999999996</v>
      </c>
      <c r="AB24" s="24">
        <f t="shared" si="32"/>
        <v>29250000</v>
      </c>
      <c r="AC24" s="24"/>
      <c r="AD24" s="24"/>
      <c r="AE24" s="24">
        <f>+'[1]SEPTIEMBRE 2016'!$M$1257</f>
        <v>29250000</v>
      </c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5">
        <f t="shared" si="3"/>
        <v>0.41500000000000004</v>
      </c>
      <c r="AX24" s="24">
        <f t="shared" si="33"/>
        <v>20750000</v>
      </c>
      <c r="AY24" s="24"/>
      <c r="AZ24" s="24">
        <f t="shared" si="34"/>
        <v>20750000</v>
      </c>
      <c r="BA24" s="24"/>
      <c r="BB24" s="24"/>
      <c r="BC24" s="24"/>
      <c r="BD24" s="24"/>
      <c r="BE24" s="24"/>
      <c r="BF24" s="24"/>
      <c r="BG24" s="24"/>
      <c r="BH24" s="24"/>
      <c r="BI24" s="24"/>
      <c r="BJ24" s="24"/>
      <c r="BK24" s="24"/>
      <c r="BL24" s="24"/>
      <c r="BM24" s="24"/>
      <c r="BN24" s="24"/>
      <c r="BO24" s="24"/>
      <c r="BP24" s="24"/>
      <c r="BQ24" s="24"/>
      <c r="BR24" s="25">
        <f t="shared" si="10"/>
        <v>0.58499999999999996</v>
      </c>
      <c r="BS24" s="24">
        <f t="shared" si="36"/>
        <v>29250000</v>
      </c>
      <c r="BT24" s="24"/>
      <c r="BU24" s="24"/>
      <c r="BV24" s="24">
        <f>+'[1]SEPTIEMBRE 2016'!$H$1255</f>
        <v>29250000</v>
      </c>
      <c r="BW24" s="24"/>
      <c r="BX24" s="24"/>
      <c r="BY24" s="24"/>
      <c r="BZ24" s="24"/>
      <c r="CA24" s="24"/>
      <c r="CB24" s="24"/>
      <c r="CC24" s="24"/>
      <c r="CD24" s="24"/>
      <c r="CE24" s="24"/>
      <c r="CF24" s="24"/>
      <c r="CG24" s="24"/>
      <c r="CH24" s="24"/>
      <c r="CI24" s="24"/>
      <c r="CJ24" s="24"/>
      <c r="CK24" s="24"/>
      <c r="CL24" s="24"/>
      <c r="CM24" s="24"/>
      <c r="CN24" s="25">
        <f t="shared" si="12"/>
        <v>0.41500000000000004</v>
      </c>
      <c r="CO24" s="24">
        <f t="shared" si="37"/>
        <v>20750000</v>
      </c>
      <c r="CP24" s="24"/>
      <c r="CQ24" s="24">
        <f t="shared" si="38"/>
        <v>20750000</v>
      </c>
      <c r="CR24" s="24"/>
      <c r="CS24" s="24"/>
      <c r="CT24" s="24"/>
      <c r="CU24" s="24"/>
      <c r="CV24" s="24"/>
      <c r="CW24" s="24"/>
      <c r="CX24" s="24"/>
      <c r="CY24" s="24"/>
      <c r="CZ24" s="24"/>
      <c r="DA24" s="24"/>
      <c r="DB24" s="24"/>
      <c r="DC24" s="24"/>
      <c r="DD24" s="24"/>
      <c r="DE24" s="24"/>
      <c r="DF24" s="24"/>
      <c r="DG24" s="24"/>
      <c r="DH24" s="24"/>
    </row>
    <row r="25" spans="1:112" ht="48" customHeight="1" x14ac:dyDescent="0.25">
      <c r="A25" s="30"/>
      <c r="B25" s="49"/>
      <c r="C25" s="20" t="s">
        <v>98</v>
      </c>
      <c r="D25" s="21" t="s">
        <v>99</v>
      </c>
      <c r="E25" s="22">
        <v>410</v>
      </c>
      <c r="F25" s="23" t="s">
        <v>91</v>
      </c>
      <c r="G25" s="24">
        <f t="shared" si="31"/>
        <v>250000000</v>
      </c>
      <c r="H25" s="24"/>
      <c r="I25" s="24">
        <v>250000000</v>
      </c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5">
        <f t="shared" si="1"/>
        <v>1.618752E-2</v>
      </c>
      <c r="AB25" s="24">
        <f t="shared" si="32"/>
        <v>4046880</v>
      </c>
      <c r="AC25" s="24"/>
      <c r="AD25" s="24"/>
      <c r="AE25" s="24">
        <f>+'[1]SEPTIEMBRE 2016'!$M$1267</f>
        <v>4046880</v>
      </c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5">
        <f t="shared" si="3"/>
        <v>0.98381247999999999</v>
      </c>
      <c r="AX25" s="24">
        <f t="shared" si="33"/>
        <v>245953120</v>
      </c>
      <c r="AY25" s="24"/>
      <c r="AZ25" s="24">
        <f t="shared" si="34"/>
        <v>245953120</v>
      </c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5">
        <f t="shared" si="10"/>
        <v>0</v>
      </c>
      <c r="BS25" s="24">
        <f t="shared" si="36"/>
        <v>0</v>
      </c>
      <c r="BT25" s="24"/>
      <c r="BU25" s="24"/>
      <c r="BV25" s="24"/>
      <c r="BW25" s="24"/>
      <c r="BX25" s="24"/>
      <c r="BY25" s="24"/>
      <c r="BZ25" s="24"/>
      <c r="CA25" s="24"/>
      <c r="CB25" s="24"/>
      <c r="CC25" s="24"/>
      <c r="CD25" s="24"/>
      <c r="CE25" s="24"/>
      <c r="CF25" s="24"/>
      <c r="CG25" s="24"/>
      <c r="CH25" s="24"/>
      <c r="CI25" s="24"/>
      <c r="CJ25" s="24"/>
      <c r="CK25" s="24"/>
      <c r="CL25" s="24"/>
      <c r="CM25" s="24"/>
      <c r="CN25" s="25">
        <f t="shared" si="12"/>
        <v>1</v>
      </c>
      <c r="CO25" s="24">
        <f t="shared" si="37"/>
        <v>250000000</v>
      </c>
      <c r="CP25" s="24"/>
      <c r="CQ25" s="24">
        <f t="shared" si="38"/>
        <v>250000000</v>
      </c>
      <c r="CR25" s="24"/>
      <c r="CS25" s="24"/>
      <c r="CT25" s="24"/>
      <c r="CU25" s="24"/>
      <c r="CV25" s="24"/>
      <c r="CW25" s="24"/>
      <c r="CX25" s="24"/>
      <c r="CY25" s="24"/>
      <c r="CZ25" s="24"/>
      <c r="DA25" s="24"/>
      <c r="DB25" s="24"/>
      <c r="DC25" s="24"/>
      <c r="DD25" s="24"/>
      <c r="DE25" s="24"/>
      <c r="DF25" s="24"/>
      <c r="DG25" s="24"/>
      <c r="DH25" s="24"/>
    </row>
    <row r="26" spans="1:112" ht="36" customHeight="1" x14ac:dyDescent="0.25">
      <c r="A26" s="30"/>
      <c r="B26" s="231" t="s">
        <v>100</v>
      </c>
      <c r="C26" s="50" t="s">
        <v>101</v>
      </c>
      <c r="D26" s="21" t="s">
        <v>102</v>
      </c>
      <c r="E26" s="22">
        <v>410</v>
      </c>
      <c r="F26" s="23" t="s">
        <v>91</v>
      </c>
      <c r="G26" s="24">
        <f t="shared" si="31"/>
        <v>10000000</v>
      </c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>
        <v>10000000</v>
      </c>
      <c r="V26" s="24"/>
      <c r="W26" s="24"/>
      <c r="X26" s="24"/>
      <c r="Y26" s="24"/>
      <c r="Z26" s="24"/>
      <c r="AA26" s="25">
        <f t="shared" si="1"/>
        <v>7.0000000000000007E-2</v>
      </c>
      <c r="AB26" s="24">
        <f t="shared" si="32"/>
        <v>700000</v>
      </c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>
        <f>+'[5]JULIO 2016'!$Y$889</f>
        <v>700000</v>
      </c>
      <c r="AR26" s="24"/>
      <c r="AS26" s="24"/>
      <c r="AT26" s="24"/>
      <c r="AU26" s="24"/>
      <c r="AV26" s="24"/>
      <c r="AW26" s="25">
        <f t="shared" si="3"/>
        <v>0.92999999999999994</v>
      </c>
      <c r="AX26" s="24">
        <f t="shared" si="33"/>
        <v>9300000</v>
      </c>
      <c r="AY26" s="24">
        <f t="shared" ref="AY26:BM59" si="43">H26-AD26</f>
        <v>0</v>
      </c>
      <c r="AZ26" s="24">
        <f t="shared" si="34"/>
        <v>0</v>
      </c>
      <c r="BA26" s="24">
        <f t="shared" si="34"/>
        <v>0</v>
      </c>
      <c r="BB26" s="24">
        <f t="shared" ref="BB26:BM37" si="44">+K26-AG26</f>
        <v>0</v>
      </c>
      <c r="BC26" s="24">
        <f t="shared" si="44"/>
        <v>0</v>
      </c>
      <c r="BD26" s="24">
        <f t="shared" si="44"/>
        <v>0</v>
      </c>
      <c r="BE26" s="24">
        <f t="shared" si="44"/>
        <v>0</v>
      </c>
      <c r="BF26" s="24">
        <f t="shared" si="44"/>
        <v>0</v>
      </c>
      <c r="BG26" s="24">
        <f t="shared" si="44"/>
        <v>0</v>
      </c>
      <c r="BH26" s="24">
        <f t="shared" si="44"/>
        <v>0</v>
      </c>
      <c r="BI26" s="24">
        <f t="shared" si="44"/>
        <v>0</v>
      </c>
      <c r="BJ26" s="24">
        <f t="shared" si="44"/>
        <v>0</v>
      </c>
      <c r="BK26" s="24">
        <f t="shared" si="44"/>
        <v>0</v>
      </c>
      <c r="BL26" s="24">
        <f t="shared" si="44"/>
        <v>9300000</v>
      </c>
      <c r="BM26" s="24">
        <f t="shared" si="44"/>
        <v>0</v>
      </c>
      <c r="BN26" s="24"/>
      <c r="BO26" s="24"/>
      <c r="BP26" s="24"/>
      <c r="BQ26" s="24">
        <f t="shared" ref="BQ26:BQ37" si="45">+Z26-AV26</f>
        <v>0</v>
      </c>
      <c r="BR26" s="25">
        <f t="shared" si="10"/>
        <v>7.0000000000000007E-2</v>
      </c>
      <c r="BS26" s="24">
        <f t="shared" si="36"/>
        <v>700000</v>
      </c>
      <c r="BT26" s="24"/>
      <c r="BU26" s="24"/>
      <c r="BV26" s="24"/>
      <c r="BW26" s="24"/>
      <c r="BX26" s="24"/>
      <c r="BY26" s="24"/>
      <c r="BZ26" s="24"/>
      <c r="CA26" s="24"/>
      <c r="CB26" s="24"/>
      <c r="CC26" s="24"/>
      <c r="CD26" s="24"/>
      <c r="CE26" s="24"/>
      <c r="CF26" s="24"/>
      <c r="CG26" s="24"/>
      <c r="CH26" s="24">
        <f>+'[5]JULIO 2016'!$H$887</f>
        <v>700000</v>
      </c>
      <c r="CI26" s="24"/>
      <c r="CJ26" s="24"/>
      <c r="CK26" s="24"/>
      <c r="CL26" s="24"/>
      <c r="CM26" s="24"/>
      <c r="CN26" s="25">
        <f t="shared" si="12"/>
        <v>0.92999999999999994</v>
      </c>
      <c r="CO26" s="24">
        <f t="shared" si="37"/>
        <v>9300000</v>
      </c>
      <c r="CP26" s="24">
        <f t="shared" ref="CP26:CU59" si="46">H26-BU26</f>
        <v>0</v>
      </c>
      <c r="CQ26" s="24">
        <f t="shared" si="38"/>
        <v>0</v>
      </c>
      <c r="CR26" s="24">
        <f t="shared" si="38"/>
        <v>0</v>
      </c>
      <c r="CS26" s="24">
        <f t="shared" si="38"/>
        <v>0</v>
      </c>
      <c r="CT26" s="24">
        <f t="shared" si="38"/>
        <v>0</v>
      </c>
      <c r="CU26" s="24">
        <f t="shared" si="38"/>
        <v>0</v>
      </c>
      <c r="CV26" s="24">
        <f t="shared" ref="CV26:CX37" si="47">+N26-CA26</f>
        <v>0</v>
      </c>
      <c r="CW26" s="24">
        <f t="shared" si="47"/>
        <v>0</v>
      </c>
      <c r="CX26" s="24">
        <f t="shared" si="47"/>
        <v>0</v>
      </c>
      <c r="CY26" s="24">
        <f t="shared" ref="CY26:DD47" si="48">Q26-CD26</f>
        <v>0</v>
      </c>
      <c r="CZ26" s="24">
        <f t="shared" si="48"/>
        <v>0</v>
      </c>
      <c r="DA26" s="24">
        <f t="shared" si="48"/>
        <v>0</v>
      </c>
      <c r="DB26" s="24">
        <f t="shared" ref="DB26:DD31" si="49">+T26-CG26</f>
        <v>0</v>
      </c>
      <c r="DC26" s="24">
        <f t="shared" si="49"/>
        <v>9300000</v>
      </c>
      <c r="DD26" s="24">
        <f t="shared" si="49"/>
        <v>0</v>
      </c>
      <c r="DE26" s="24"/>
      <c r="DF26" s="24">
        <f t="shared" ref="DF26:DH31" si="50">+X26-CK26</f>
        <v>0</v>
      </c>
      <c r="DG26" s="24">
        <f t="shared" si="50"/>
        <v>0</v>
      </c>
      <c r="DH26" s="24">
        <f t="shared" si="50"/>
        <v>0</v>
      </c>
    </row>
    <row r="27" spans="1:112" ht="33" customHeight="1" x14ac:dyDescent="0.25">
      <c r="A27" s="30"/>
      <c r="B27" s="232"/>
      <c r="C27" s="20" t="s">
        <v>103</v>
      </c>
      <c r="D27" s="21" t="s">
        <v>104</v>
      </c>
      <c r="E27" s="22">
        <v>410</v>
      </c>
      <c r="F27" s="23" t="s">
        <v>105</v>
      </c>
      <c r="G27" s="24">
        <f>SUM(H27:Z27)</f>
        <v>10000000</v>
      </c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>
        <v>10000000</v>
      </c>
      <c r="V27" s="24"/>
      <c r="W27" s="24"/>
      <c r="X27" s="24"/>
      <c r="Y27" s="24"/>
      <c r="Z27" s="24"/>
      <c r="AA27" s="25">
        <f t="shared" si="1"/>
        <v>1</v>
      </c>
      <c r="AB27" s="24">
        <f t="shared" si="32"/>
        <v>10000000</v>
      </c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>
        <f>+'[8]ABRIL 2016'!$Y$572</f>
        <v>10000000</v>
      </c>
      <c r="AR27" s="24"/>
      <c r="AS27" s="24"/>
      <c r="AT27" s="24"/>
      <c r="AU27" s="24"/>
      <c r="AV27" s="24"/>
      <c r="AW27" s="25">
        <f t="shared" si="3"/>
        <v>0</v>
      </c>
      <c r="AX27" s="24">
        <f t="shared" si="33"/>
        <v>0</v>
      </c>
      <c r="AY27" s="24">
        <f t="shared" si="43"/>
        <v>0</v>
      </c>
      <c r="AZ27" s="24">
        <f t="shared" si="34"/>
        <v>0</v>
      </c>
      <c r="BA27" s="24">
        <f t="shared" si="34"/>
        <v>0</v>
      </c>
      <c r="BB27" s="24">
        <f t="shared" si="44"/>
        <v>0</v>
      </c>
      <c r="BC27" s="24">
        <f t="shared" si="44"/>
        <v>0</v>
      </c>
      <c r="BD27" s="24">
        <f t="shared" si="44"/>
        <v>0</v>
      </c>
      <c r="BE27" s="24">
        <f t="shared" si="44"/>
        <v>0</v>
      </c>
      <c r="BF27" s="24">
        <f t="shared" si="44"/>
        <v>0</v>
      </c>
      <c r="BG27" s="24">
        <f t="shared" si="44"/>
        <v>0</v>
      </c>
      <c r="BH27" s="24">
        <f t="shared" si="44"/>
        <v>0</v>
      </c>
      <c r="BI27" s="24">
        <f t="shared" si="44"/>
        <v>0</v>
      </c>
      <c r="BJ27" s="24">
        <f t="shared" si="44"/>
        <v>0</v>
      </c>
      <c r="BK27" s="24">
        <f t="shared" si="44"/>
        <v>0</v>
      </c>
      <c r="BL27" s="24">
        <f t="shared" si="44"/>
        <v>0</v>
      </c>
      <c r="BM27" s="24">
        <f t="shared" si="44"/>
        <v>0</v>
      </c>
      <c r="BN27" s="24"/>
      <c r="BO27" s="24"/>
      <c r="BP27" s="24"/>
      <c r="BQ27" s="24">
        <f t="shared" si="45"/>
        <v>0</v>
      </c>
      <c r="BR27" s="25">
        <f t="shared" si="10"/>
        <v>1</v>
      </c>
      <c r="BS27" s="24">
        <f t="shared" si="36"/>
        <v>10000000</v>
      </c>
      <c r="BT27" s="24"/>
      <c r="BU27" s="24"/>
      <c r="BV27" s="24"/>
      <c r="BW27" s="24"/>
      <c r="BX27" s="24"/>
      <c r="BY27" s="24"/>
      <c r="BZ27" s="24"/>
      <c r="CA27" s="24"/>
      <c r="CB27" s="24"/>
      <c r="CC27" s="24"/>
      <c r="CD27" s="24"/>
      <c r="CE27" s="24"/>
      <c r="CF27" s="24"/>
      <c r="CG27" s="24"/>
      <c r="CH27" s="24">
        <f>+'[8]ABRIL 2016'!$Y$572</f>
        <v>10000000</v>
      </c>
      <c r="CI27" s="24"/>
      <c r="CJ27" s="24"/>
      <c r="CK27" s="24"/>
      <c r="CL27" s="24"/>
      <c r="CM27" s="24"/>
      <c r="CN27" s="25">
        <f t="shared" si="12"/>
        <v>0</v>
      </c>
      <c r="CO27" s="24">
        <f t="shared" si="37"/>
        <v>0</v>
      </c>
      <c r="CP27" s="24">
        <f t="shared" si="46"/>
        <v>0</v>
      </c>
      <c r="CQ27" s="24">
        <f t="shared" si="38"/>
        <v>0</v>
      </c>
      <c r="CR27" s="24">
        <f t="shared" si="38"/>
        <v>0</v>
      </c>
      <c r="CS27" s="24">
        <f t="shared" si="38"/>
        <v>0</v>
      </c>
      <c r="CT27" s="24">
        <f t="shared" si="38"/>
        <v>0</v>
      </c>
      <c r="CU27" s="24">
        <f t="shared" si="38"/>
        <v>0</v>
      </c>
      <c r="CV27" s="24">
        <f t="shared" si="47"/>
        <v>0</v>
      </c>
      <c r="CW27" s="24">
        <f t="shared" si="47"/>
        <v>0</v>
      </c>
      <c r="CX27" s="24">
        <f t="shared" si="47"/>
        <v>0</v>
      </c>
      <c r="CY27" s="24">
        <f t="shared" si="48"/>
        <v>0</v>
      </c>
      <c r="CZ27" s="24">
        <f t="shared" si="48"/>
        <v>0</v>
      </c>
      <c r="DA27" s="24">
        <f t="shared" si="48"/>
        <v>0</v>
      </c>
      <c r="DB27" s="24">
        <f t="shared" si="49"/>
        <v>0</v>
      </c>
      <c r="DC27" s="24">
        <f t="shared" si="49"/>
        <v>0</v>
      </c>
      <c r="DD27" s="24">
        <f t="shared" si="49"/>
        <v>0</v>
      </c>
      <c r="DE27" s="24"/>
      <c r="DF27" s="24">
        <f t="shared" si="50"/>
        <v>0</v>
      </c>
      <c r="DG27" s="24">
        <f t="shared" si="50"/>
        <v>0</v>
      </c>
      <c r="DH27" s="24">
        <f t="shared" si="50"/>
        <v>0</v>
      </c>
    </row>
    <row r="28" spans="1:112" ht="30" x14ac:dyDescent="0.25">
      <c r="A28" s="30"/>
      <c r="B28" s="232"/>
      <c r="C28" s="20" t="s">
        <v>106</v>
      </c>
      <c r="D28" s="21" t="s">
        <v>107</v>
      </c>
      <c r="E28" s="22">
        <v>410</v>
      </c>
      <c r="F28" s="23" t="s">
        <v>105</v>
      </c>
      <c r="G28" s="24">
        <f t="shared" si="31"/>
        <v>0</v>
      </c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>
        <f>20000000-20000000</f>
        <v>0</v>
      </c>
      <c r="V28" s="24"/>
      <c r="W28" s="24"/>
      <c r="X28" s="24"/>
      <c r="Y28" s="24"/>
      <c r="Z28" s="24"/>
      <c r="AA28" s="25" t="e">
        <f t="shared" si="1"/>
        <v>#DIV/0!</v>
      </c>
      <c r="AB28" s="24">
        <f t="shared" si="32"/>
        <v>0</v>
      </c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5" t="e">
        <f t="shared" si="3"/>
        <v>#DIV/0!</v>
      </c>
      <c r="AX28" s="24">
        <f t="shared" si="33"/>
        <v>0</v>
      </c>
      <c r="AY28" s="24">
        <f t="shared" si="43"/>
        <v>0</v>
      </c>
      <c r="AZ28" s="24">
        <f t="shared" si="34"/>
        <v>0</v>
      </c>
      <c r="BA28" s="24">
        <f t="shared" si="34"/>
        <v>0</v>
      </c>
      <c r="BB28" s="24">
        <f t="shared" si="44"/>
        <v>0</v>
      </c>
      <c r="BC28" s="24">
        <f t="shared" si="44"/>
        <v>0</v>
      </c>
      <c r="BD28" s="24">
        <f t="shared" si="44"/>
        <v>0</v>
      </c>
      <c r="BE28" s="24">
        <f t="shared" si="44"/>
        <v>0</v>
      </c>
      <c r="BF28" s="24">
        <f t="shared" si="44"/>
        <v>0</v>
      </c>
      <c r="BG28" s="24">
        <f t="shared" si="44"/>
        <v>0</v>
      </c>
      <c r="BH28" s="24">
        <f t="shared" si="44"/>
        <v>0</v>
      </c>
      <c r="BI28" s="24">
        <f t="shared" si="44"/>
        <v>0</v>
      </c>
      <c r="BJ28" s="24">
        <f t="shared" si="44"/>
        <v>0</v>
      </c>
      <c r="BK28" s="24">
        <f t="shared" si="44"/>
        <v>0</v>
      </c>
      <c r="BL28" s="24">
        <f t="shared" si="44"/>
        <v>0</v>
      </c>
      <c r="BM28" s="24">
        <f t="shared" si="44"/>
        <v>0</v>
      </c>
      <c r="BN28" s="24"/>
      <c r="BO28" s="24"/>
      <c r="BP28" s="24"/>
      <c r="BQ28" s="24">
        <f t="shared" si="45"/>
        <v>0</v>
      </c>
      <c r="BR28" s="25" t="e">
        <f t="shared" si="10"/>
        <v>#DIV/0!</v>
      </c>
      <c r="BS28" s="24">
        <f t="shared" si="36"/>
        <v>0</v>
      </c>
      <c r="BT28" s="24"/>
      <c r="BU28" s="24"/>
      <c r="BV28" s="24"/>
      <c r="BW28" s="24"/>
      <c r="BX28" s="24"/>
      <c r="BY28" s="24"/>
      <c r="BZ28" s="24"/>
      <c r="CA28" s="24"/>
      <c r="CB28" s="24"/>
      <c r="CC28" s="24"/>
      <c r="CD28" s="24"/>
      <c r="CE28" s="24"/>
      <c r="CF28" s="24"/>
      <c r="CG28" s="24"/>
      <c r="CH28" s="24"/>
      <c r="CI28" s="24"/>
      <c r="CJ28" s="24"/>
      <c r="CK28" s="24"/>
      <c r="CL28" s="24"/>
      <c r="CM28" s="24"/>
      <c r="CN28" s="25" t="e">
        <f t="shared" si="12"/>
        <v>#DIV/0!</v>
      </c>
      <c r="CO28" s="24">
        <f t="shared" si="37"/>
        <v>0</v>
      </c>
      <c r="CP28" s="24">
        <f t="shared" si="46"/>
        <v>0</v>
      </c>
      <c r="CQ28" s="24">
        <f t="shared" si="38"/>
        <v>0</v>
      </c>
      <c r="CR28" s="24">
        <f t="shared" si="38"/>
        <v>0</v>
      </c>
      <c r="CS28" s="24">
        <f t="shared" si="38"/>
        <v>0</v>
      </c>
      <c r="CT28" s="24">
        <f t="shared" si="38"/>
        <v>0</v>
      </c>
      <c r="CU28" s="24">
        <f t="shared" si="38"/>
        <v>0</v>
      </c>
      <c r="CV28" s="24">
        <f t="shared" si="47"/>
        <v>0</v>
      </c>
      <c r="CW28" s="24">
        <f t="shared" si="47"/>
        <v>0</v>
      </c>
      <c r="CX28" s="24">
        <f t="shared" si="47"/>
        <v>0</v>
      </c>
      <c r="CY28" s="24">
        <f t="shared" si="48"/>
        <v>0</v>
      </c>
      <c r="CZ28" s="24">
        <f t="shared" si="48"/>
        <v>0</v>
      </c>
      <c r="DA28" s="24">
        <f t="shared" si="48"/>
        <v>0</v>
      </c>
      <c r="DB28" s="24">
        <f t="shared" si="49"/>
        <v>0</v>
      </c>
      <c r="DC28" s="24">
        <f t="shared" si="49"/>
        <v>0</v>
      </c>
      <c r="DD28" s="24">
        <f t="shared" si="49"/>
        <v>0</v>
      </c>
      <c r="DE28" s="24"/>
      <c r="DF28" s="24">
        <f t="shared" si="50"/>
        <v>0</v>
      </c>
      <c r="DG28" s="24">
        <f t="shared" si="50"/>
        <v>0</v>
      </c>
      <c r="DH28" s="24">
        <f t="shared" si="50"/>
        <v>0</v>
      </c>
    </row>
    <row r="29" spans="1:112" ht="30" x14ac:dyDescent="0.25">
      <c r="A29" s="30"/>
      <c r="B29" s="232"/>
      <c r="C29" s="20" t="s">
        <v>108</v>
      </c>
      <c r="D29" s="21" t="s">
        <v>109</v>
      </c>
      <c r="E29" s="22">
        <v>410</v>
      </c>
      <c r="F29" s="23" t="s">
        <v>105</v>
      </c>
      <c r="G29" s="24">
        <f t="shared" si="31"/>
        <v>27000000</v>
      </c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>
        <f>50000000-23000000</f>
        <v>27000000</v>
      </c>
      <c r="V29" s="24"/>
      <c r="W29" s="24"/>
      <c r="X29" s="24"/>
      <c r="Y29" s="24"/>
      <c r="Z29" s="24"/>
      <c r="AA29" s="25">
        <f t="shared" si="1"/>
        <v>1</v>
      </c>
      <c r="AB29" s="24">
        <f t="shared" si="32"/>
        <v>27000000</v>
      </c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>
        <f>+'[8]ABRIL 2016'!$Y$585</f>
        <v>27000000</v>
      </c>
      <c r="AR29" s="24"/>
      <c r="AS29" s="24"/>
      <c r="AT29" s="24"/>
      <c r="AU29" s="24"/>
      <c r="AV29" s="24"/>
      <c r="AW29" s="25">
        <f t="shared" si="3"/>
        <v>0</v>
      </c>
      <c r="AX29" s="24">
        <f t="shared" si="33"/>
        <v>0</v>
      </c>
      <c r="AY29" s="24">
        <f t="shared" si="43"/>
        <v>0</v>
      </c>
      <c r="AZ29" s="24">
        <f t="shared" si="34"/>
        <v>0</v>
      </c>
      <c r="BA29" s="24">
        <f t="shared" si="34"/>
        <v>0</v>
      </c>
      <c r="BB29" s="24">
        <f t="shared" si="44"/>
        <v>0</v>
      </c>
      <c r="BC29" s="24">
        <f t="shared" si="44"/>
        <v>0</v>
      </c>
      <c r="BD29" s="24">
        <f t="shared" si="44"/>
        <v>0</v>
      </c>
      <c r="BE29" s="24">
        <f t="shared" si="44"/>
        <v>0</v>
      </c>
      <c r="BF29" s="24">
        <f t="shared" si="44"/>
        <v>0</v>
      </c>
      <c r="BG29" s="24">
        <f t="shared" si="44"/>
        <v>0</v>
      </c>
      <c r="BH29" s="24">
        <f t="shared" si="44"/>
        <v>0</v>
      </c>
      <c r="BI29" s="24">
        <f t="shared" si="44"/>
        <v>0</v>
      </c>
      <c r="BJ29" s="24">
        <f t="shared" si="44"/>
        <v>0</v>
      </c>
      <c r="BK29" s="24">
        <f t="shared" si="44"/>
        <v>0</v>
      </c>
      <c r="BL29" s="24">
        <f t="shared" si="44"/>
        <v>0</v>
      </c>
      <c r="BM29" s="24">
        <f t="shared" si="44"/>
        <v>0</v>
      </c>
      <c r="BN29" s="24"/>
      <c r="BO29" s="24"/>
      <c r="BP29" s="24"/>
      <c r="BQ29" s="24">
        <f t="shared" si="45"/>
        <v>0</v>
      </c>
      <c r="BR29" s="25">
        <f t="shared" si="10"/>
        <v>0.80074074074074075</v>
      </c>
      <c r="BS29" s="24">
        <f t="shared" si="36"/>
        <v>21620000</v>
      </c>
      <c r="BT29" s="24"/>
      <c r="BU29" s="24"/>
      <c r="BV29" s="24"/>
      <c r="BW29" s="24"/>
      <c r="BX29" s="24"/>
      <c r="BY29" s="24"/>
      <c r="BZ29" s="24"/>
      <c r="CA29" s="24"/>
      <c r="CB29" s="24"/>
      <c r="CC29" s="24"/>
      <c r="CD29" s="24"/>
      <c r="CE29" s="24"/>
      <c r="CF29" s="24"/>
      <c r="CG29" s="24"/>
      <c r="CH29" s="24">
        <f>+'[1]SEPTIEMBRE 2016'!$H$1291</f>
        <v>21620000</v>
      </c>
      <c r="CI29" s="24"/>
      <c r="CJ29" s="24"/>
      <c r="CK29" s="24"/>
      <c r="CL29" s="24"/>
      <c r="CM29" s="24"/>
      <c r="CN29" s="25">
        <f t="shared" si="12"/>
        <v>0.19925925925925925</v>
      </c>
      <c r="CO29" s="24">
        <f t="shared" si="37"/>
        <v>5380000</v>
      </c>
      <c r="CP29" s="24">
        <f t="shared" si="46"/>
        <v>0</v>
      </c>
      <c r="CQ29" s="24">
        <f t="shared" si="38"/>
        <v>0</v>
      </c>
      <c r="CR29" s="24">
        <f t="shared" si="38"/>
        <v>0</v>
      </c>
      <c r="CS29" s="24">
        <f t="shared" si="38"/>
        <v>0</v>
      </c>
      <c r="CT29" s="24">
        <f t="shared" si="38"/>
        <v>0</v>
      </c>
      <c r="CU29" s="24">
        <f t="shared" si="38"/>
        <v>0</v>
      </c>
      <c r="CV29" s="24">
        <f t="shared" si="47"/>
        <v>0</v>
      </c>
      <c r="CW29" s="24">
        <f t="shared" si="47"/>
        <v>0</v>
      </c>
      <c r="CX29" s="24">
        <f t="shared" si="47"/>
        <v>0</v>
      </c>
      <c r="CY29" s="24">
        <f t="shared" si="48"/>
        <v>0</v>
      </c>
      <c r="CZ29" s="24">
        <f t="shared" si="48"/>
        <v>0</v>
      </c>
      <c r="DA29" s="24">
        <f t="shared" si="48"/>
        <v>0</v>
      </c>
      <c r="DB29" s="24">
        <f t="shared" si="49"/>
        <v>0</v>
      </c>
      <c r="DC29" s="24">
        <f t="shared" si="49"/>
        <v>5380000</v>
      </c>
      <c r="DD29" s="24">
        <f t="shared" si="49"/>
        <v>0</v>
      </c>
      <c r="DE29" s="24"/>
      <c r="DF29" s="24">
        <f t="shared" si="50"/>
        <v>0</v>
      </c>
      <c r="DG29" s="24">
        <f t="shared" si="50"/>
        <v>0</v>
      </c>
      <c r="DH29" s="24">
        <f t="shared" si="50"/>
        <v>0</v>
      </c>
    </row>
    <row r="30" spans="1:112" ht="37.5" customHeight="1" x14ac:dyDescent="0.25">
      <c r="A30" s="30"/>
      <c r="B30" s="232"/>
      <c r="C30" s="20" t="s">
        <v>110</v>
      </c>
      <c r="D30" s="21" t="s">
        <v>111</v>
      </c>
      <c r="E30" s="22">
        <v>410</v>
      </c>
      <c r="F30" s="23" t="s">
        <v>112</v>
      </c>
      <c r="G30" s="24">
        <f t="shared" si="31"/>
        <v>122300000</v>
      </c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>
        <v>17300000</v>
      </c>
      <c r="S30" s="24"/>
      <c r="T30" s="24"/>
      <c r="U30" s="24">
        <v>100000000</v>
      </c>
      <c r="V30" s="24"/>
      <c r="W30" s="24"/>
      <c r="X30" s="24"/>
      <c r="Y30" s="24"/>
      <c r="Z30" s="24">
        <v>5000000</v>
      </c>
      <c r="AA30" s="25">
        <f t="shared" si="1"/>
        <v>0.86683854456255105</v>
      </c>
      <c r="AB30" s="24">
        <f t="shared" si="32"/>
        <v>106014354</v>
      </c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>
        <f>+'[1]SEPTIEMBRE 2016'!$V$1305</f>
        <v>5611743</v>
      </c>
      <c r="AO30" s="24"/>
      <c r="AP30" s="24"/>
      <c r="AQ30" s="24">
        <f>+'[1]SEPTIEMBRE 2016'!$Y$1305</f>
        <v>99252111</v>
      </c>
      <c r="AR30" s="24"/>
      <c r="AS30" s="24"/>
      <c r="AT30" s="24"/>
      <c r="AU30" s="24"/>
      <c r="AV30" s="24">
        <v>1150500</v>
      </c>
      <c r="AW30" s="25">
        <f t="shared" si="3"/>
        <v>0.13316145543744895</v>
      </c>
      <c r="AX30" s="24">
        <f t="shared" si="33"/>
        <v>16285646</v>
      </c>
      <c r="AY30" s="24">
        <f t="shared" si="43"/>
        <v>0</v>
      </c>
      <c r="AZ30" s="24">
        <f t="shared" si="34"/>
        <v>0</v>
      </c>
      <c r="BA30" s="24">
        <f t="shared" si="34"/>
        <v>0</v>
      </c>
      <c r="BB30" s="24">
        <f t="shared" si="44"/>
        <v>0</v>
      </c>
      <c r="BC30" s="24">
        <f t="shared" si="44"/>
        <v>0</v>
      </c>
      <c r="BD30" s="24">
        <f t="shared" si="44"/>
        <v>0</v>
      </c>
      <c r="BE30" s="24">
        <f t="shared" si="44"/>
        <v>0</v>
      </c>
      <c r="BF30" s="24">
        <f t="shared" si="44"/>
        <v>0</v>
      </c>
      <c r="BG30" s="24">
        <f t="shared" si="44"/>
        <v>0</v>
      </c>
      <c r="BH30" s="24">
        <f t="shared" si="44"/>
        <v>0</v>
      </c>
      <c r="BI30" s="24">
        <f t="shared" si="44"/>
        <v>11688257</v>
      </c>
      <c r="BJ30" s="24">
        <f t="shared" si="44"/>
        <v>0</v>
      </c>
      <c r="BK30" s="24">
        <f t="shared" si="44"/>
        <v>0</v>
      </c>
      <c r="BL30" s="24">
        <f t="shared" si="44"/>
        <v>747889</v>
      </c>
      <c r="BM30" s="24">
        <f t="shared" si="44"/>
        <v>0</v>
      </c>
      <c r="BN30" s="24"/>
      <c r="BO30" s="24"/>
      <c r="BP30" s="24"/>
      <c r="BQ30" s="24">
        <f t="shared" si="45"/>
        <v>3849500</v>
      </c>
      <c r="BR30" s="25">
        <f t="shared" si="10"/>
        <v>0.86683854456255105</v>
      </c>
      <c r="BS30" s="24">
        <f t="shared" si="36"/>
        <v>106014354</v>
      </c>
      <c r="BT30" s="24"/>
      <c r="BU30" s="24"/>
      <c r="BV30" s="24"/>
      <c r="BW30" s="24"/>
      <c r="BX30" s="24"/>
      <c r="BY30" s="24"/>
      <c r="BZ30" s="24"/>
      <c r="CA30" s="24"/>
      <c r="CB30" s="24"/>
      <c r="CC30" s="24"/>
      <c r="CD30" s="24"/>
      <c r="CE30" s="24">
        <f>+'[1]SEPTIEMBRE 2016'!$V$1305</f>
        <v>5611743</v>
      </c>
      <c r="CF30" s="24"/>
      <c r="CG30" s="24"/>
      <c r="CH30" s="24">
        <f>+'[1]SEPTIEMBRE 2016'!$Y$1305</f>
        <v>99252111</v>
      </c>
      <c r="CI30" s="24"/>
      <c r="CJ30" s="24"/>
      <c r="CK30" s="24"/>
      <c r="CL30" s="24"/>
      <c r="CM30" s="24">
        <v>1150500</v>
      </c>
      <c r="CN30" s="25">
        <f t="shared" si="12"/>
        <v>0.13316145543744895</v>
      </c>
      <c r="CO30" s="24">
        <f t="shared" si="37"/>
        <v>16285646</v>
      </c>
      <c r="CP30" s="24">
        <f t="shared" si="46"/>
        <v>0</v>
      </c>
      <c r="CQ30" s="24">
        <f t="shared" si="38"/>
        <v>0</v>
      </c>
      <c r="CR30" s="24">
        <f t="shared" si="38"/>
        <v>0</v>
      </c>
      <c r="CS30" s="24">
        <f t="shared" si="38"/>
        <v>0</v>
      </c>
      <c r="CT30" s="24">
        <f t="shared" si="38"/>
        <v>0</v>
      </c>
      <c r="CU30" s="24">
        <f t="shared" si="38"/>
        <v>0</v>
      </c>
      <c r="CV30" s="24">
        <f t="shared" si="47"/>
        <v>0</v>
      </c>
      <c r="CW30" s="24">
        <f t="shared" si="47"/>
        <v>0</v>
      </c>
      <c r="CX30" s="24">
        <f t="shared" si="47"/>
        <v>0</v>
      </c>
      <c r="CY30" s="24">
        <f t="shared" si="48"/>
        <v>0</v>
      </c>
      <c r="CZ30" s="24">
        <f t="shared" si="48"/>
        <v>11688257</v>
      </c>
      <c r="DA30" s="24">
        <f t="shared" si="48"/>
        <v>0</v>
      </c>
      <c r="DB30" s="24">
        <f t="shared" si="49"/>
        <v>0</v>
      </c>
      <c r="DC30" s="24">
        <f t="shared" si="49"/>
        <v>747889</v>
      </c>
      <c r="DD30" s="24">
        <f t="shared" si="49"/>
        <v>0</v>
      </c>
      <c r="DE30" s="24"/>
      <c r="DF30" s="24">
        <f t="shared" si="50"/>
        <v>0</v>
      </c>
      <c r="DG30" s="24">
        <f t="shared" si="50"/>
        <v>0</v>
      </c>
      <c r="DH30" s="24">
        <f t="shared" si="50"/>
        <v>3849500</v>
      </c>
    </row>
    <row r="31" spans="1:112" ht="33.75" customHeight="1" x14ac:dyDescent="0.25">
      <c r="A31" s="30"/>
      <c r="B31" s="232"/>
      <c r="C31" s="20" t="s">
        <v>113</v>
      </c>
      <c r="D31" s="21" t="s">
        <v>114</v>
      </c>
      <c r="E31" s="22">
        <v>410</v>
      </c>
      <c r="F31" s="23" t="s">
        <v>105</v>
      </c>
      <c r="G31" s="24">
        <f t="shared" si="31"/>
        <v>100000000</v>
      </c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>
        <v>100000000</v>
      </c>
      <c r="V31" s="24"/>
      <c r="W31" s="24"/>
      <c r="X31" s="24"/>
      <c r="Y31" s="24"/>
      <c r="Z31" s="24"/>
      <c r="AA31" s="25">
        <f t="shared" si="1"/>
        <v>0.85333278999999995</v>
      </c>
      <c r="AB31" s="24">
        <f t="shared" si="32"/>
        <v>85333279</v>
      </c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>
        <f>+'[1]SEPTIEMBRE 2016'!$Y$1363</f>
        <v>85333279</v>
      </c>
      <c r="AR31" s="24"/>
      <c r="AS31" s="24"/>
      <c r="AT31" s="24"/>
      <c r="AU31" s="24"/>
      <c r="AV31" s="24"/>
      <c r="AW31" s="25">
        <f t="shared" si="3"/>
        <v>0.14666721000000005</v>
      </c>
      <c r="AX31" s="24">
        <f t="shared" si="33"/>
        <v>14666721</v>
      </c>
      <c r="AY31" s="24">
        <f t="shared" si="43"/>
        <v>0</v>
      </c>
      <c r="AZ31" s="24">
        <f t="shared" si="34"/>
        <v>0</v>
      </c>
      <c r="BA31" s="24">
        <f t="shared" si="34"/>
        <v>0</v>
      </c>
      <c r="BB31" s="24">
        <f t="shared" si="44"/>
        <v>0</v>
      </c>
      <c r="BC31" s="24">
        <f t="shared" si="44"/>
        <v>0</v>
      </c>
      <c r="BD31" s="24">
        <f t="shared" si="44"/>
        <v>0</v>
      </c>
      <c r="BE31" s="24">
        <f t="shared" si="44"/>
        <v>0</v>
      </c>
      <c r="BF31" s="24">
        <f t="shared" si="44"/>
        <v>0</v>
      </c>
      <c r="BG31" s="24">
        <f t="shared" si="44"/>
        <v>0</v>
      </c>
      <c r="BH31" s="24">
        <f t="shared" si="44"/>
        <v>0</v>
      </c>
      <c r="BI31" s="24">
        <f t="shared" si="44"/>
        <v>0</v>
      </c>
      <c r="BJ31" s="24">
        <f t="shared" si="44"/>
        <v>0</v>
      </c>
      <c r="BK31" s="24">
        <f t="shared" si="44"/>
        <v>0</v>
      </c>
      <c r="BL31" s="24">
        <f t="shared" si="44"/>
        <v>14666721</v>
      </c>
      <c r="BM31" s="24">
        <f t="shared" si="44"/>
        <v>0</v>
      </c>
      <c r="BN31" s="24"/>
      <c r="BO31" s="24"/>
      <c r="BP31" s="24"/>
      <c r="BQ31" s="24">
        <f t="shared" si="45"/>
        <v>0</v>
      </c>
      <c r="BR31" s="25">
        <f t="shared" si="10"/>
        <v>0.85333278999999995</v>
      </c>
      <c r="BS31" s="24">
        <f t="shared" si="36"/>
        <v>85333279</v>
      </c>
      <c r="BT31" s="24"/>
      <c r="BU31" s="24"/>
      <c r="BV31" s="24"/>
      <c r="BW31" s="24"/>
      <c r="BX31" s="24"/>
      <c r="BY31" s="24"/>
      <c r="BZ31" s="24"/>
      <c r="CA31" s="24"/>
      <c r="CB31" s="24"/>
      <c r="CC31" s="24"/>
      <c r="CD31" s="24"/>
      <c r="CE31" s="24"/>
      <c r="CF31" s="24"/>
      <c r="CG31" s="24"/>
      <c r="CH31" s="24">
        <f>+'[1]SEPTIEMBRE 2016'!$H$1361</f>
        <v>85333279</v>
      </c>
      <c r="CI31" s="24"/>
      <c r="CJ31" s="24"/>
      <c r="CK31" s="24"/>
      <c r="CL31" s="24"/>
      <c r="CM31" s="24"/>
      <c r="CN31" s="25">
        <f t="shared" si="12"/>
        <v>0.14666721000000005</v>
      </c>
      <c r="CO31" s="24">
        <f t="shared" si="37"/>
        <v>14666721</v>
      </c>
      <c r="CP31" s="24">
        <f t="shared" si="46"/>
        <v>0</v>
      </c>
      <c r="CQ31" s="24">
        <f t="shared" si="38"/>
        <v>0</v>
      </c>
      <c r="CR31" s="24">
        <f t="shared" si="38"/>
        <v>0</v>
      </c>
      <c r="CS31" s="24">
        <f t="shared" si="38"/>
        <v>0</v>
      </c>
      <c r="CT31" s="24">
        <f t="shared" si="38"/>
        <v>0</v>
      </c>
      <c r="CU31" s="24">
        <f t="shared" si="38"/>
        <v>0</v>
      </c>
      <c r="CV31" s="24">
        <f t="shared" si="47"/>
        <v>0</v>
      </c>
      <c r="CW31" s="24">
        <f t="shared" si="47"/>
        <v>0</v>
      </c>
      <c r="CX31" s="24">
        <f t="shared" si="47"/>
        <v>0</v>
      </c>
      <c r="CY31" s="24">
        <f t="shared" si="48"/>
        <v>0</v>
      </c>
      <c r="CZ31" s="24">
        <f t="shared" si="48"/>
        <v>0</v>
      </c>
      <c r="DA31" s="24">
        <f t="shared" si="48"/>
        <v>0</v>
      </c>
      <c r="DB31" s="24">
        <f t="shared" si="49"/>
        <v>0</v>
      </c>
      <c r="DC31" s="24">
        <f t="shared" si="49"/>
        <v>14666721</v>
      </c>
      <c r="DD31" s="24">
        <f t="shared" si="49"/>
        <v>0</v>
      </c>
      <c r="DE31" s="24"/>
      <c r="DF31" s="24">
        <f t="shared" si="50"/>
        <v>0</v>
      </c>
      <c r="DG31" s="24">
        <f t="shared" si="50"/>
        <v>0</v>
      </c>
      <c r="DH31" s="24">
        <f t="shared" si="50"/>
        <v>0</v>
      </c>
    </row>
    <row r="32" spans="1:112" ht="22.5" customHeight="1" x14ac:dyDescent="0.25">
      <c r="A32" s="30"/>
      <c r="B32" s="232"/>
      <c r="C32" s="20" t="s">
        <v>115</v>
      </c>
      <c r="D32" s="21" t="s">
        <v>116</v>
      </c>
      <c r="E32" s="22">
        <v>410</v>
      </c>
      <c r="F32" s="23" t="s">
        <v>76</v>
      </c>
      <c r="G32" s="24">
        <f t="shared" si="31"/>
        <v>17000000</v>
      </c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>
        <f>6000000+2000000+4000000+5000000</f>
        <v>17000000</v>
      </c>
      <c r="AA32" s="25">
        <f t="shared" si="1"/>
        <v>0.70588223529411764</v>
      </c>
      <c r="AB32" s="24">
        <f t="shared" si="32"/>
        <v>11999998</v>
      </c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>
        <f>+'[4]AGOSTO 2016'!$AG$1142</f>
        <v>11999998</v>
      </c>
      <c r="AW32" s="25">
        <f t="shared" si="3"/>
        <v>0.29411776470588236</v>
      </c>
      <c r="AX32" s="24">
        <f t="shared" si="33"/>
        <v>5000002</v>
      </c>
      <c r="AY32" s="24">
        <f t="shared" si="43"/>
        <v>0</v>
      </c>
      <c r="AZ32" s="24">
        <f t="shared" si="34"/>
        <v>0</v>
      </c>
      <c r="BA32" s="24">
        <f t="shared" si="34"/>
        <v>0</v>
      </c>
      <c r="BB32" s="24">
        <f t="shared" si="44"/>
        <v>0</v>
      </c>
      <c r="BC32" s="24">
        <f t="shared" si="44"/>
        <v>0</v>
      </c>
      <c r="BD32" s="24">
        <f t="shared" si="44"/>
        <v>0</v>
      </c>
      <c r="BE32" s="24">
        <f t="shared" si="44"/>
        <v>0</v>
      </c>
      <c r="BF32" s="24">
        <f t="shared" si="44"/>
        <v>0</v>
      </c>
      <c r="BG32" s="24">
        <f t="shared" si="44"/>
        <v>0</v>
      </c>
      <c r="BH32" s="24">
        <f t="shared" si="44"/>
        <v>0</v>
      </c>
      <c r="BI32" s="24">
        <f t="shared" si="44"/>
        <v>0</v>
      </c>
      <c r="BJ32" s="24">
        <f t="shared" si="44"/>
        <v>0</v>
      </c>
      <c r="BK32" s="24"/>
      <c r="BL32" s="24">
        <f t="shared" si="44"/>
        <v>0</v>
      </c>
      <c r="BM32" s="24">
        <f t="shared" si="44"/>
        <v>0</v>
      </c>
      <c r="BN32" s="24"/>
      <c r="BO32" s="24"/>
      <c r="BP32" s="24"/>
      <c r="BQ32" s="24">
        <f t="shared" si="45"/>
        <v>5000002</v>
      </c>
      <c r="BR32" s="25">
        <f t="shared" si="10"/>
        <v>0.70588223529411764</v>
      </c>
      <c r="BS32" s="24">
        <f t="shared" si="36"/>
        <v>11999998</v>
      </c>
      <c r="BT32" s="24"/>
      <c r="BU32" s="24"/>
      <c r="BV32" s="24"/>
      <c r="BW32" s="24"/>
      <c r="BX32" s="24"/>
      <c r="BY32" s="24"/>
      <c r="BZ32" s="24"/>
      <c r="CA32" s="24"/>
      <c r="CB32" s="24"/>
      <c r="CC32" s="24"/>
      <c r="CD32" s="24"/>
      <c r="CE32" s="24"/>
      <c r="CF32" s="24"/>
      <c r="CG32" s="24"/>
      <c r="CH32" s="24"/>
      <c r="CI32" s="24"/>
      <c r="CJ32" s="24"/>
      <c r="CK32" s="24"/>
      <c r="CL32" s="24"/>
      <c r="CM32" s="24">
        <f>+'[1]SEPTIEMBRE 2016'!$H$1388</f>
        <v>11999998</v>
      </c>
      <c r="CN32" s="25">
        <f t="shared" si="12"/>
        <v>0.29411776470588236</v>
      </c>
      <c r="CO32" s="24">
        <f t="shared" si="37"/>
        <v>5000002</v>
      </c>
      <c r="CP32" s="24">
        <f t="shared" si="46"/>
        <v>0</v>
      </c>
      <c r="CQ32" s="24">
        <f t="shared" si="38"/>
        <v>0</v>
      </c>
      <c r="CR32" s="24">
        <f t="shared" si="38"/>
        <v>0</v>
      </c>
      <c r="CS32" s="24">
        <f t="shared" si="38"/>
        <v>0</v>
      </c>
      <c r="CT32" s="24">
        <f t="shared" si="38"/>
        <v>0</v>
      </c>
      <c r="CU32" s="24">
        <f t="shared" si="38"/>
        <v>0</v>
      </c>
      <c r="CV32" s="24">
        <f t="shared" si="47"/>
        <v>0</v>
      </c>
      <c r="CW32" s="24">
        <f t="shared" si="47"/>
        <v>0</v>
      </c>
      <c r="CX32" s="24">
        <f t="shared" si="47"/>
        <v>0</v>
      </c>
      <c r="CY32" s="24">
        <f t="shared" si="48"/>
        <v>0</v>
      </c>
      <c r="CZ32" s="24">
        <f t="shared" si="48"/>
        <v>0</v>
      </c>
      <c r="DA32" s="24">
        <f t="shared" si="48"/>
        <v>0</v>
      </c>
      <c r="DB32" s="24">
        <f t="shared" si="48"/>
        <v>0</v>
      </c>
      <c r="DC32" s="24">
        <f t="shared" si="48"/>
        <v>0</v>
      </c>
      <c r="DD32" s="24">
        <f t="shared" si="48"/>
        <v>0</v>
      </c>
      <c r="DE32" s="24"/>
      <c r="DF32" s="24">
        <f t="shared" ref="DF32:DH47" si="51">X32-CK32</f>
        <v>0</v>
      </c>
      <c r="DG32" s="24">
        <f t="shared" si="51"/>
        <v>0</v>
      </c>
      <c r="DH32" s="24">
        <f t="shared" si="51"/>
        <v>5000002</v>
      </c>
    </row>
    <row r="33" spans="1:114" ht="47.25" customHeight="1" x14ac:dyDescent="0.25">
      <c r="A33" s="30"/>
      <c r="B33" s="232"/>
      <c r="C33" s="20" t="s">
        <v>117</v>
      </c>
      <c r="D33" s="21" t="s">
        <v>118</v>
      </c>
      <c r="E33" s="22">
        <v>410</v>
      </c>
      <c r="F33" s="23" t="s">
        <v>119</v>
      </c>
      <c r="G33" s="24">
        <f t="shared" si="31"/>
        <v>10000000</v>
      </c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>
        <f>5000000+5000000</f>
        <v>10000000</v>
      </c>
      <c r="AA33" s="25">
        <f t="shared" si="1"/>
        <v>0.40619810000000001</v>
      </c>
      <c r="AB33" s="24">
        <f t="shared" si="32"/>
        <v>4061981</v>
      </c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>
        <f>+'[1]SEPTIEMBRE 2016'!$AG$1406</f>
        <v>4061981</v>
      </c>
      <c r="AW33" s="25">
        <f t="shared" si="3"/>
        <v>0.59380189999999999</v>
      </c>
      <c r="AX33" s="24">
        <f t="shared" si="33"/>
        <v>5938019</v>
      </c>
      <c r="AY33" s="24">
        <f t="shared" si="43"/>
        <v>0</v>
      </c>
      <c r="AZ33" s="24">
        <f t="shared" si="34"/>
        <v>0</v>
      </c>
      <c r="BA33" s="24">
        <f t="shared" si="34"/>
        <v>0</v>
      </c>
      <c r="BB33" s="24">
        <f t="shared" si="44"/>
        <v>0</v>
      </c>
      <c r="BC33" s="24">
        <f t="shared" si="44"/>
        <v>0</v>
      </c>
      <c r="BD33" s="24">
        <f t="shared" si="44"/>
        <v>0</v>
      </c>
      <c r="BE33" s="24">
        <f t="shared" si="44"/>
        <v>0</v>
      </c>
      <c r="BF33" s="24">
        <f t="shared" si="44"/>
        <v>0</v>
      </c>
      <c r="BG33" s="24">
        <f t="shared" si="44"/>
        <v>0</v>
      </c>
      <c r="BH33" s="24">
        <f t="shared" si="44"/>
        <v>0</v>
      </c>
      <c r="BI33" s="24">
        <f t="shared" si="44"/>
        <v>0</v>
      </c>
      <c r="BJ33" s="24">
        <f t="shared" si="44"/>
        <v>0</v>
      </c>
      <c r="BK33" s="24"/>
      <c r="BL33" s="24">
        <f t="shared" si="44"/>
        <v>0</v>
      </c>
      <c r="BM33" s="24">
        <f t="shared" si="44"/>
        <v>0</v>
      </c>
      <c r="BN33" s="24"/>
      <c r="BO33" s="24"/>
      <c r="BP33" s="24"/>
      <c r="BQ33" s="24">
        <f t="shared" si="45"/>
        <v>5938019</v>
      </c>
      <c r="BR33" s="25">
        <f t="shared" si="10"/>
        <v>0.40619810000000001</v>
      </c>
      <c r="BS33" s="24">
        <f t="shared" si="36"/>
        <v>4061981</v>
      </c>
      <c r="BT33" s="24"/>
      <c r="BU33" s="24"/>
      <c r="BV33" s="24"/>
      <c r="BW33" s="24"/>
      <c r="BX33" s="24"/>
      <c r="BY33" s="24"/>
      <c r="BZ33" s="24"/>
      <c r="CA33" s="24"/>
      <c r="CB33" s="24"/>
      <c r="CC33" s="24"/>
      <c r="CD33" s="24"/>
      <c r="CE33" s="24"/>
      <c r="CF33" s="24"/>
      <c r="CG33" s="24"/>
      <c r="CH33" s="24"/>
      <c r="CI33" s="24"/>
      <c r="CJ33" s="24"/>
      <c r="CK33" s="24"/>
      <c r="CL33" s="24"/>
      <c r="CM33" s="24">
        <f>+'[1]SEPTIEMBRE 2016'!$AG$1406</f>
        <v>4061981</v>
      </c>
      <c r="CN33" s="25">
        <f t="shared" si="12"/>
        <v>0.59380189999999999</v>
      </c>
      <c r="CO33" s="24">
        <f t="shared" si="37"/>
        <v>5938019</v>
      </c>
      <c r="CP33" s="24">
        <f t="shared" si="46"/>
        <v>0</v>
      </c>
      <c r="CQ33" s="24">
        <f t="shared" si="38"/>
        <v>0</v>
      </c>
      <c r="CR33" s="24">
        <f t="shared" si="38"/>
        <v>0</v>
      </c>
      <c r="CS33" s="24">
        <f t="shared" si="38"/>
        <v>0</v>
      </c>
      <c r="CT33" s="24">
        <f t="shared" si="38"/>
        <v>0</v>
      </c>
      <c r="CU33" s="24">
        <f t="shared" si="38"/>
        <v>0</v>
      </c>
      <c r="CV33" s="24">
        <f t="shared" si="47"/>
        <v>0</v>
      </c>
      <c r="CW33" s="24">
        <f t="shared" si="47"/>
        <v>0</v>
      </c>
      <c r="CX33" s="24">
        <f t="shared" si="47"/>
        <v>0</v>
      </c>
      <c r="CY33" s="24">
        <f t="shared" si="48"/>
        <v>0</v>
      </c>
      <c r="CZ33" s="24">
        <f t="shared" si="48"/>
        <v>0</v>
      </c>
      <c r="DA33" s="24">
        <f t="shared" si="48"/>
        <v>0</v>
      </c>
      <c r="DB33" s="24">
        <f t="shared" si="48"/>
        <v>0</v>
      </c>
      <c r="DC33" s="24">
        <f t="shared" si="48"/>
        <v>0</v>
      </c>
      <c r="DD33" s="24">
        <f t="shared" si="48"/>
        <v>0</v>
      </c>
      <c r="DE33" s="24"/>
      <c r="DF33" s="24">
        <f t="shared" si="51"/>
        <v>0</v>
      </c>
      <c r="DG33" s="24">
        <f t="shared" si="51"/>
        <v>0</v>
      </c>
      <c r="DH33" s="24">
        <f t="shared" si="51"/>
        <v>5938019</v>
      </c>
    </row>
    <row r="34" spans="1:114" ht="45" x14ac:dyDescent="0.25">
      <c r="A34" s="30"/>
      <c r="B34" s="233"/>
      <c r="C34" s="20" t="s">
        <v>120</v>
      </c>
      <c r="D34" s="21" t="s">
        <v>121</v>
      </c>
      <c r="E34" s="22">
        <v>410</v>
      </c>
      <c r="F34" s="23" t="s">
        <v>122</v>
      </c>
      <c r="G34" s="24">
        <f t="shared" si="31"/>
        <v>161295383</v>
      </c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>
        <v>110000000</v>
      </c>
      <c r="V34" s="24"/>
      <c r="W34" s="24">
        <f>11169156+40126227</f>
        <v>51295383</v>
      </c>
      <c r="X34" s="24"/>
      <c r="Y34" s="24"/>
      <c r="Z34" s="24"/>
      <c r="AA34" s="25">
        <f t="shared" si="1"/>
        <v>1</v>
      </c>
      <c r="AB34" s="24">
        <f t="shared" si="32"/>
        <v>161295383</v>
      </c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>
        <f>+'[2]ENERO 2016'!$Y$308</f>
        <v>110000000</v>
      </c>
      <c r="AR34" s="24"/>
      <c r="AS34" s="24">
        <f>+'[4]AGOSTO 2016'!$AA$1161</f>
        <v>51295383</v>
      </c>
      <c r="AT34" s="24"/>
      <c r="AU34" s="24"/>
      <c r="AV34" s="24"/>
      <c r="AW34" s="25">
        <f t="shared" si="3"/>
        <v>0</v>
      </c>
      <c r="AX34" s="24">
        <f t="shared" si="33"/>
        <v>0</v>
      </c>
      <c r="AY34" s="24">
        <f t="shared" si="43"/>
        <v>0</v>
      </c>
      <c r="AZ34" s="24">
        <f t="shared" si="34"/>
        <v>0</v>
      </c>
      <c r="BA34" s="24">
        <f t="shared" si="34"/>
        <v>0</v>
      </c>
      <c r="BB34" s="24">
        <f t="shared" si="44"/>
        <v>0</v>
      </c>
      <c r="BC34" s="24">
        <f t="shared" si="44"/>
        <v>0</v>
      </c>
      <c r="BD34" s="24">
        <f t="shared" si="44"/>
        <v>0</v>
      </c>
      <c r="BE34" s="24">
        <f t="shared" si="44"/>
        <v>0</v>
      </c>
      <c r="BF34" s="24">
        <f t="shared" si="44"/>
        <v>0</v>
      </c>
      <c r="BG34" s="24">
        <f t="shared" si="44"/>
        <v>0</v>
      </c>
      <c r="BH34" s="24">
        <f t="shared" si="44"/>
        <v>0</v>
      </c>
      <c r="BI34" s="24">
        <f t="shared" si="44"/>
        <v>0</v>
      </c>
      <c r="BJ34" s="24">
        <f t="shared" si="44"/>
        <v>0</v>
      </c>
      <c r="BK34" s="24"/>
      <c r="BL34" s="24">
        <f t="shared" si="44"/>
        <v>0</v>
      </c>
      <c r="BM34" s="24">
        <f t="shared" si="44"/>
        <v>0</v>
      </c>
      <c r="BN34" s="24">
        <f>+W34-AS34</f>
        <v>0</v>
      </c>
      <c r="BO34" s="24"/>
      <c r="BP34" s="24"/>
      <c r="BQ34" s="24">
        <f t="shared" si="45"/>
        <v>0</v>
      </c>
      <c r="BR34" s="25">
        <f t="shared" si="10"/>
        <v>0.65722831632446665</v>
      </c>
      <c r="BS34" s="24">
        <f t="shared" si="36"/>
        <v>106007893</v>
      </c>
      <c r="BT34" s="24"/>
      <c r="BU34" s="24"/>
      <c r="BV34" s="24"/>
      <c r="BW34" s="24"/>
      <c r="BX34" s="24"/>
      <c r="BY34" s="24"/>
      <c r="BZ34" s="24"/>
      <c r="CA34" s="24"/>
      <c r="CB34" s="24"/>
      <c r="CC34" s="24"/>
      <c r="CD34" s="24"/>
      <c r="CE34" s="24"/>
      <c r="CF34" s="24"/>
      <c r="CG34" s="24"/>
      <c r="CH34" s="24">
        <f>+'[1]SEPTIEMBRE 2016'!$H$1416+'[1]SEPTIEMBRE 2016'!$H$1432+'[1]SEPTIEMBRE 2016'!$H$1446</f>
        <v>100140263</v>
      </c>
      <c r="CI34" s="24"/>
      <c r="CJ34" s="24">
        <f>+'[1]SEPTIEMBRE 2016'!$H$1449+'[1]SEPTIEMBRE 2016'!$H$1452</f>
        <v>5867630</v>
      </c>
      <c r="CK34" s="24"/>
      <c r="CL34" s="24"/>
      <c r="CM34" s="24"/>
      <c r="CN34" s="25">
        <f t="shared" si="12"/>
        <v>0.34277168367553335</v>
      </c>
      <c r="CO34" s="24">
        <f t="shared" si="37"/>
        <v>55287490</v>
      </c>
      <c r="CP34" s="24">
        <f t="shared" si="46"/>
        <v>0</v>
      </c>
      <c r="CQ34" s="24">
        <f t="shared" si="38"/>
        <v>0</v>
      </c>
      <c r="CR34" s="24">
        <f t="shared" si="38"/>
        <v>0</v>
      </c>
      <c r="CS34" s="24">
        <f t="shared" si="38"/>
        <v>0</v>
      </c>
      <c r="CT34" s="24">
        <f t="shared" si="38"/>
        <v>0</v>
      </c>
      <c r="CU34" s="24">
        <f t="shared" si="38"/>
        <v>0</v>
      </c>
      <c r="CV34" s="24">
        <f t="shared" si="47"/>
        <v>0</v>
      </c>
      <c r="CW34" s="24">
        <f t="shared" si="47"/>
        <v>0</v>
      </c>
      <c r="CX34" s="24">
        <f t="shared" si="47"/>
        <v>0</v>
      </c>
      <c r="CY34" s="24">
        <f t="shared" si="48"/>
        <v>0</v>
      </c>
      <c r="CZ34" s="24">
        <f t="shared" si="48"/>
        <v>0</v>
      </c>
      <c r="DA34" s="24">
        <f t="shared" si="48"/>
        <v>0</v>
      </c>
      <c r="DB34" s="24">
        <f t="shared" si="48"/>
        <v>0</v>
      </c>
      <c r="DC34" s="24">
        <f t="shared" si="48"/>
        <v>9859737</v>
      </c>
      <c r="DD34" s="24">
        <f t="shared" si="48"/>
        <v>0</v>
      </c>
      <c r="DE34" s="24">
        <f>W34-CJ34</f>
        <v>45427753</v>
      </c>
      <c r="DF34" s="24">
        <f t="shared" si="51"/>
        <v>0</v>
      </c>
      <c r="DG34" s="24">
        <f t="shared" si="51"/>
        <v>0</v>
      </c>
      <c r="DH34" s="24">
        <f t="shared" si="51"/>
        <v>0</v>
      </c>
      <c r="DJ34" s="52"/>
    </row>
    <row r="35" spans="1:114" ht="30" x14ac:dyDescent="0.25">
      <c r="A35" s="238" t="s">
        <v>87</v>
      </c>
      <c r="B35" s="231" t="s">
        <v>123</v>
      </c>
      <c r="C35" s="20" t="s">
        <v>124</v>
      </c>
      <c r="D35" s="21" t="s">
        <v>125</v>
      </c>
      <c r="E35" s="64">
        <v>410</v>
      </c>
      <c r="F35" s="23" t="s">
        <v>91</v>
      </c>
      <c r="G35" s="24">
        <f t="shared" si="31"/>
        <v>55000000</v>
      </c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>
        <v>55000000</v>
      </c>
      <c r="V35" s="24"/>
      <c r="W35" s="24"/>
      <c r="X35" s="24"/>
      <c r="Y35" s="24"/>
      <c r="Z35" s="24"/>
      <c r="AA35" s="25">
        <f t="shared" si="1"/>
        <v>0.5604268545454546</v>
      </c>
      <c r="AB35" s="24">
        <f t="shared" si="32"/>
        <v>30823477</v>
      </c>
      <c r="AC35" s="24"/>
      <c r="AD35" s="24"/>
      <c r="AE35" s="24"/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>
        <f>+'[1]SEPTIEMBRE 2016'!$Y$1458</f>
        <v>30823477</v>
      </c>
      <c r="AR35" s="24"/>
      <c r="AS35" s="24"/>
      <c r="AT35" s="24"/>
      <c r="AU35" s="24"/>
      <c r="AV35" s="24"/>
      <c r="AW35" s="25">
        <f t="shared" si="3"/>
        <v>0.4395731454545454</v>
      </c>
      <c r="AX35" s="24">
        <f t="shared" si="33"/>
        <v>24176523</v>
      </c>
      <c r="AY35" s="24">
        <f t="shared" si="43"/>
        <v>0</v>
      </c>
      <c r="AZ35" s="24">
        <f t="shared" si="34"/>
        <v>0</v>
      </c>
      <c r="BA35" s="24">
        <f t="shared" si="34"/>
        <v>0</v>
      </c>
      <c r="BB35" s="24">
        <f t="shared" si="44"/>
        <v>0</v>
      </c>
      <c r="BC35" s="24">
        <f t="shared" si="44"/>
        <v>0</v>
      </c>
      <c r="BD35" s="24">
        <f t="shared" si="44"/>
        <v>0</v>
      </c>
      <c r="BE35" s="24">
        <f t="shared" si="44"/>
        <v>0</v>
      </c>
      <c r="BF35" s="24">
        <f t="shared" si="44"/>
        <v>0</v>
      </c>
      <c r="BG35" s="24">
        <f t="shared" si="44"/>
        <v>0</v>
      </c>
      <c r="BH35" s="24">
        <f t="shared" si="44"/>
        <v>0</v>
      </c>
      <c r="BI35" s="24">
        <f t="shared" si="44"/>
        <v>0</v>
      </c>
      <c r="BJ35" s="24">
        <f t="shared" si="44"/>
        <v>0</v>
      </c>
      <c r="BK35" s="24">
        <f>+T35-AP35</f>
        <v>0</v>
      </c>
      <c r="BL35" s="24">
        <f t="shared" si="44"/>
        <v>24176523</v>
      </c>
      <c r="BM35" s="24">
        <f t="shared" si="44"/>
        <v>0</v>
      </c>
      <c r="BN35" s="24"/>
      <c r="BO35" s="24"/>
      <c r="BP35" s="24"/>
      <c r="BQ35" s="24">
        <f t="shared" si="45"/>
        <v>0</v>
      </c>
      <c r="BR35" s="25">
        <f t="shared" si="10"/>
        <v>0.55918343636363632</v>
      </c>
      <c r="BS35" s="24">
        <f t="shared" si="36"/>
        <v>30755089</v>
      </c>
      <c r="BT35" s="24"/>
      <c r="BU35" s="24"/>
      <c r="BV35" s="24"/>
      <c r="BW35" s="24"/>
      <c r="BX35" s="24"/>
      <c r="BY35" s="24"/>
      <c r="BZ35" s="24"/>
      <c r="CA35" s="24"/>
      <c r="CB35" s="24"/>
      <c r="CC35" s="24"/>
      <c r="CD35" s="24"/>
      <c r="CE35" s="24"/>
      <c r="CF35" s="24"/>
      <c r="CG35" s="24"/>
      <c r="CH35" s="24">
        <f>+'[1]SEPTIEMBRE 2016'!$H$1456</f>
        <v>30755089</v>
      </c>
      <c r="CI35" s="24"/>
      <c r="CJ35" s="24"/>
      <c r="CK35" s="24"/>
      <c r="CL35" s="24"/>
      <c r="CM35" s="24"/>
      <c r="CN35" s="25">
        <f t="shared" si="12"/>
        <v>0.44081656363636368</v>
      </c>
      <c r="CO35" s="24">
        <f t="shared" si="37"/>
        <v>24244911</v>
      </c>
      <c r="CP35" s="24">
        <f t="shared" si="46"/>
        <v>0</v>
      </c>
      <c r="CQ35" s="24">
        <f t="shared" si="38"/>
        <v>0</v>
      </c>
      <c r="CR35" s="24">
        <f t="shared" si="38"/>
        <v>0</v>
      </c>
      <c r="CS35" s="24">
        <f t="shared" si="38"/>
        <v>0</v>
      </c>
      <c r="CT35" s="24">
        <f t="shared" si="38"/>
        <v>0</v>
      </c>
      <c r="CU35" s="24">
        <f t="shared" si="38"/>
        <v>0</v>
      </c>
      <c r="CV35" s="24">
        <f t="shared" si="47"/>
        <v>0</v>
      </c>
      <c r="CW35" s="24">
        <f t="shared" si="47"/>
        <v>0</v>
      </c>
      <c r="CX35" s="24">
        <f t="shared" si="47"/>
        <v>0</v>
      </c>
      <c r="CY35" s="24">
        <f t="shared" si="48"/>
        <v>0</v>
      </c>
      <c r="CZ35" s="24">
        <f t="shared" si="48"/>
        <v>0</v>
      </c>
      <c r="DA35" s="24">
        <f t="shared" si="48"/>
        <v>0</v>
      </c>
      <c r="DB35" s="24">
        <f t="shared" ref="DB35:DD37" si="52">+T35-CG35</f>
        <v>0</v>
      </c>
      <c r="DC35" s="24">
        <f t="shared" si="52"/>
        <v>24244911</v>
      </c>
      <c r="DD35" s="24">
        <f t="shared" si="52"/>
        <v>0</v>
      </c>
      <c r="DE35" s="24"/>
      <c r="DF35" s="24">
        <f>+X35-CK35</f>
        <v>0</v>
      </c>
      <c r="DG35" s="24">
        <f t="shared" si="51"/>
        <v>0</v>
      </c>
      <c r="DH35" s="24">
        <f>+Z35-CM35</f>
        <v>0</v>
      </c>
    </row>
    <row r="36" spans="1:114" ht="36.75" customHeight="1" x14ac:dyDescent="0.25">
      <c r="A36" s="238"/>
      <c r="B36" s="232"/>
      <c r="C36" s="20" t="s">
        <v>126</v>
      </c>
      <c r="D36" s="21" t="s">
        <v>127</v>
      </c>
      <c r="E36" s="22">
        <v>410</v>
      </c>
      <c r="F36" s="23" t="s">
        <v>128</v>
      </c>
      <c r="G36" s="24">
        <f t="shared" si="31"/>
        <v>53000000</v>
      </c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>
        <v>50000000</v>
      </c>
      <c r="V36" s="24"/>
      <c r="W36" s="24"/>
      <c r="X36" s="24"/>
      <c r="Y36" s="24"/>
      <c r="Z36" s="24">
        <v>3000000</v>
      </c>
      <c r="AA36" s="25">
        <f t="shared" si="1"/>
        <v>0.52459220754716984</v>
      </c>
      <c r="AB36" s="24">
        <f t="shared" si="32"/>
        <v>27803387</v>
      </c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>
        <f>+'[1]SEPTIEMBRE 2016'!$Y$1497</f>
        <v>26903387</v>
      </c>
      <c r="AR36" s="24"/>
      <c r="AS36" s="24"/>
      <c r="AT36" s="24"/>
      <c r="AU36" s="24"/>
      <c r="AV36" s="24">
        <f>+'[4]AGOSTO 2016'!$AG$1231</f>
        <v>900000</v>
      </c>
      <c r="AW36" s="25">
        <f t="shared" si="3"/>
        <v>0.47540779245283016</v>
      </c>
      <c r="AX36" s="24">
        <f t="shared" si="33"/>
        <v>25196613</v>
      </c>
      <c r="AY36" s="24">
        <f t="shared" si="43"/>
        <v>0</v>
      </c>
      <c r="AZ36" s="24">
        <f t="shared" si="34"/>
        <v>0</v>
      </c>
      <c r="BA36" s="24">
        <f t="shared" si="34"/>
        <v>0</v>
      </c>
      <c r="BB36" s="24">
        <f t="shared" si="44"/>
        <v>0</v>
      </c>
      <c r="BC36" s="24">
        <f t="shared" si="44"/>
        <v>0</v>
      </c>
      <c r="BD36" s="24">
        <f t="shared" si="44"/>
        <v>0</v>
      </c>
      <c r="BE36" s="24">
        <f t="shared" si="44"/>
        <v>0</v>
      </c>
      <c r="BF36" s="24">
        <f t="shared" si="44"/>
        <v>0</v>
      </c>
      <c r="BG36" s="24">
        <f t="shared" si="44"/>
        <v>0</v>
      </c>
      <c r="BH36" s="24">
        <f t="shared" si="44"/>
        <v>0</v>
      </c>
      <c r="BI36" s="24">
        <f t="shared" si="44"/>
        <v>0</v>
      </c>
      <c r="BJ36" s="24">
        <f t="shared" si="44"/>
        <v>0</v>
      </c>
      <c r="BK36" s="24">
        <f>+T36-AP36</f>
        <v>0</v>
      </c>
      <c r="BL36" s="24">
        <f t="shared" si="44"/>
        <v>23096613</v>
      </c>
      <c r="BM36" s="24">
        <f t="shared" si="44"/>
        <v>0</v>
      </c>
      <c r="BN36" s="24"/>
      <c r="BO36" s="24"/>
      <c r="BP36" s="24"/>
      <c r="BQ36" s="24">
        <f t="shared" si="45"/>
        <v>2100000</v>
      </c>
      <c r="BR36" s="25">
        <f t="shared" si="10"/>
        <v>0.46935713207547169</v>
      </c>
      <c r="BS36" s="24">
        <f t="shared" si="36"/>
        <v>24875928</v>
      </c>
      <c r="BT36" s="24"/>
      <c r="BU36" s="24"/>
      <c r="BV36" s="24"/>
      <c r="BW36" s="24"/>
      <c r="BX36" s="24"/>
      <c r="BY36" s="24"/>
      <c r="BZ36" s="24"/>
      <c r="CA36" s="24"/>
      <c r="CB36" s="24"/>
      <c r="CC36" s="24"/>
      <c r="CD36" s="24"/>
      <c r="CE36" s="24"/>
      <c r="CF36" s="24"/>
      <c r="CG36" s="24"/>
      <c r="CH36" s="24">
        <f>+'[1]SEPTIEMBRE 2016'!$H$1495-CM36</f>
        <v>23975928</v>
      </c>
      <c r="CI36" s="24"/>
      <c r="CJ36" s="24"/>
      <c r="CK36" s="24"/>
      <c r="CL36" s="24"/>
      <c r="CM36" s="24">
        <v>900000</v>
      </c>
      <c r="CN36" s="25">
        <f t="shared" si="12"/>
        <v>0.53064286792452831</v>
      </c>
      <c r="CO36" s="24">
        <f t="shared" si="37"/>
        <v>28124072</v>
      </c>
      <c r="CP36" s="24">
        <f t="shared" si="46"/>
        <v>0</v>
      </c>
      <c r="CQ36" s="24">
        <f t="shared" si="38"/>
        <v>0</v>
      </c>
      <c r="CR36" s="24">
        <f t="shared" si="38"/>
        <v>0</v>
      </c>
      <c r="CS36" s="24">
        <f t="shared" si="38"/>
        <v>0</v>
      </c>
      <c r="CT36" s="24">
        <f t="shared" si="38"/>
        <v>0</v>
      </c>
      <c r="CU36" s="24">
        <f t="shared" si="38"/>
        <v>0</v>
      </c>
      <c r="CV36" s="24">
        <f t="shared" si="47"/>
        <v>0</v>
      </c>
      <c r="CW36" s="24">
        <f t="shared" si="47"/>
        <v>0</v>
      </c>
      <c r="CX36" s="24">
        <f t="shared" si="47"/>
        <v>0</v>
      </c>
      <c r="CY36" s="24">
        <f t="shared" si="48"/>
        <v>0</v>
      </c>
      <c r="CZ36" s="24">
        <f t="shared" si="48"/>
        <v>0</v>
      </c>
      <c r="DA36" s="24">
        <f t="shared" si="48"/>
        <v>0</v>
      </c>
      <c r="DB36" s="24">
        <f t="shared" si="52"/>
        <v>0</v>
      </c>
      <c r="DC36" s="24">
        <f t="shared" si="52"/>
        <v>26024072</v>
      </c>
      <c r="DD36" s="24">
        <f t="shared" si="52"/>
        <v>0</v>
      </c>
      <c r="DE36" s="24"/>
      <c r="DF36" s="24">
        <f>+X36-CK36</f>
        <v>0</v>
      </c>
      <c r="DG36" s="24">
        <f t="shared" si="51"/>
        <v>0</v>
      </c>
      <c r="DH36" s="24">
        <f>+Z36-CM36</f>
        <v>2100000</v>
      </c>
    </row>
    <row r="37" spans="1:114" x14ac:dyDescent="0.25">
      <c r="A37" s="238"/>
      <c r="B37" s="232"/>
      <c r="C37" s="20" t="s">
        <v>129</v>
      </c>
      <c r="D37" s="21" t="s">
        <v>130</v>
      </c>
      <c r="E37" s="22">
        <v>410</v>
      </c>
      <c r="F37" s="23" t="s">
        <v>91</v>
      </c>
      <c r="G37" s="24">
        <f t="shared" si="31"/>
        <v>34794000</v>
      </c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>
        <f>40000000-5206000</f>
        <v>34794000</v>
      </c>
      <c r="V37" s="24"/>
      <c r="W37" s="24"/>
      <c r="X37" s="24"/>
      <c r="Y37" s="24"/>
      <c r="Z37" s="24"/>
      <c r="AA37" s="25">
        <f t="shared" si="1"/>
        <v>1</v>
      </c>
      <c r="AB37" s="24">
        <f t="shared" si="32"/>
        <v>34794000</v>
      </c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>
        <f>+'[4]AGOSTO 2016'!$Y$1264</f>
        <v>34794000</v>
      </c>
      <c r="AR37" s="24"/>
      <c r="AS37" s="24"/>
      <c r="AT37" s="24"/>
      <c r="AU37" s="24"/>
      <c r="AV37" s="24"/>
      <c r="AW37" s="25">
        <f t="shared" si="3"/>
        <v>0</v>
      </c>
      <c r="AX37" s="24">
        <f t="shared" si="33"/>
        <v>0</v>
      </c>
      <c r="AY37" s="24">
        <f t="shared" si="43"/>
        <v>0</v>
      </c>
      <c r="AZ37" s="24">
        <f t="shared" si="43"/>
        <v>0</v>
      </c>
      <c r="BA37" s="24">
        <f t="shared" si="43"/>
        <v>0</v>
      </c>
      <c r="BB37" s="24">
        <f t="shared" si="44"/>
        <v>0</v>
      </c>
      <c r="BC37" s="24">
        <f t="shared" si="44"/>
        <v>0</v>
      </c>
      <c r="BD37" s="24">
        <f t="shared" si="44"/>
        <v>0</v>
      </c>
      <c r="BE37" s="24">
        <f t="shared" si="44"/>
        <v>0</v>
      </c>
      <c r="BF37" s="24">
        <f t="shared" si="44"/>
        <v>0</v>
      </c>
      <c r="BG37" s="24">
        <f t="shared" si="44"/>
        <v>0</v>
      </c>
      <c r="BH37" s="24">
        <f t="shared" si="44"/>
        <v>0</v>
      </c>
      <c r="BI37" s="24">
        <f t="shared" si="44"/>
        <v>0</v>
      </c>
      <c r="BJ37" s="24">
        <f t="shared" si="44"/>
        <v>0</v>
      </c>
      <c r="BK37" s="24">
        <f>+T37-AP37</f>
        <v>0</v>
      </c>
      <c r="BL37" s="24">
        <f t="shared" si="44"/>
        <v>0</v>
      </c>
      <c r="BM37" s="24">
        <f t="shared" si="44"/>
        <v>0</v>
      </c>
      <c r="BN37" s="24"/>
      <c r="BO37" s="24"/>
      <c r="BP37" s="24"/>
      <c r="BQ37" s="24">
        <f t="shared" si="45"/>
        <v>0</v>
      </c>
      <c r="BR37" s="25">
        <f t="shared" si="10"/>
        <v>0.8322222222222222</v>
      </c>
      <c r="BS37" s="24">
        <f t="shared" si="36"/>
        <v>28956340</v>
      </c>
      <c r="BT37" s="24"/>
      <c r="BU37" s="24"/>
      <c r="BV37" s="24"/>
      <c r="BW37" s="24"/>
      <c r="BX37" s="24"/>
      <c r="BY37" s="24"/>
      <c r="BZ37" s="24"/>
      <c r="CA37" s="24"/>
      <c r="CB37" s="24"/>
      <c r="CC37" s="24"/>
      <c r="CD37" s="24"/>
      <c r="CE37" s="24"/>
      <c r="CF37" s="24"/>
      <c r="CG37" s="24"/>
      <c r="CH37" s="24">
        <f>+'[1]SEPTIEMBRE 2016'!$H$1539</f>
        <v>28956340</v>
      </c>
      <c r="CI37" s="24"/>
      <c r="CJ37" s="24"/>
      <c r="CK37" s="24"/>
      <c r="CL37" s="24"/>
      <c r="CM37" s="24"/>
      <c r="CN37" s="25">
        <f t="shared" si="12"/>
        <v>0.1677777777777778</v>
      </c>
      <c r="CO37" s="24">
        <f t="shared" si="37"/>
        <v>5837660</v>
      </c>
      <c r="CP37" s="24">
        <f t="shared" si="46"/>
        <v>0</v>
      </c>
      <c r="CQ37" s="24">
        <f t="shared" si="46"/>
        <v>0</v>
      </c>
      <c r="CR37" s="24">
        <f t="shared" si="46"/>
        <v>0</v>
      </c>
      <c r="CS37" s="24">
        <f t="shared" si="46"/>
        <v>0</v>
      </c>
      <c r="CT37" s="24">
        <f t="shared" si="46"/>
        <v>0</v>
      </c>
      <c r="CU37" s="24">
        <f t="shared" si="46"/>
        <v>0</v>
      </c>
      <c r="CV37" s="24">
        <f t="shared" si="47"/>
        <v>0</v>
      </c>
      <c r="CW37" s="24">
        <f t="shared" si="47"/>
        <v>0</v>
      </c>
      <c r="CX37" s="24">
        <f t="shared" si="47"/>
        <v>0</v>
      </c>
      <c r="CY37" s="24">
        <f t="shared" si="48"/>
        <v>0</v>
      </c>
      <c r="CZ37" s="24">
        <f t="shared" si="48"/>
        <v>0</v>
      </c>
      <c r="DA37" s="24">
        <f t="shared" si="48"/>
        <v>0</v>
      </c>
      <c r="DB37" s="24">
        <f t="shared" si="52"/>
        <v>0</v>
      </c>
      <c r="DC37" s="24">
        <f t="shared" si="52"/>
        <v>5837660</v>
      </c>
      <c r="DD37" s="24">
        <f t="shared" si="52"/>
        <v>0</v>
      </c>
      <c r="DE37" s="24"/>
      <c r="DF37" s="24">
        <f>+X37-CK37</f>
        <v>0</v>
      </c>
      <c r="DG37" s="24">
        <f t="shared" si="51"/>
        <v>0</v>
      </c>
      <c r="DH37" s="24">
        <f>+Z37-CM37</f>
        <v>0</v>
      </c>
    </row>
    <row r="38" spans="1:114" x14ac:dyDescent="0.25">
      <c r="A38" s="238"/>
      <c r="B38" s="233"/>
      <c r="C38" s="20" t="s">
        <v>131</v>
      </c>
      <c r="D38" s="21" t="s">
        <v>132</v>
      </c>
      <c r="E38" s="22">
        <v>410</v>
      </c>
      <c r="F38" s="23" t="s">
        <v>91</v>
      </c>
      <c r="G38" s="24">
        <f t="shared" si="31"/>
        <v>105000000</v>
      </c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>
        <v>105000000</v>
      </c>
      <c r="V38" s="24"/>
      <c r="W38" s="24"/>
      <c r="X38" s="24"/>
      <c r="Y38" s="24"/>
      <c r="Z38" s="24"/>
      <c r="AA38" s="25">
        <f t="shared" si="1"/>
        <v>1</v>
      </c>
      <c r="AB38" s="24">
        <f t="shared" si="32"/>
        <v>105000000</v>
      </c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>
        <f>+'[6]JUNIO 2016'!$Y$953</f>
        <v>105000000</v>
      </c>
      <c r="AR38" s="24"/>
      <c r="AS38" s="24"/>
      <c r="AT38" s="24"/>
      <c r="AU38" s="24"/>
      <c r="AV38" s="24"/>
      <c r="AW38" s="25">
        <f t="shared" si="3"/>
        <v>0</v>
      </c>
      <c r="AX38" s="24">
        <f t="shared" si="33"/>
        <v>0</v>
      </c>
      <c r="AY38" s="24">
        <f t="shared" si="43"/>
        <v>0</v>
      </c>
      <c r="AZ38" s="24">
        <f t="shared" si="43"/>
        <v>0</v>
      </c>
      <c r="BA38" s="24">
        <f t="shared" si="43"/>
        <v>0</v>
      </c>
      <c r="BB38" s="24">
        <f t="shared" si="43"/>
        <v>0</v>
      </c>
      <c r="BC38" s="24">
        <f t="shared" si="43"/>
        <v>0</v>
      </c>
      <c r="BD38" s="24">
        <f t="shared" si="43"/>
        <v>0</v>
      </c>
      <c r="BE38" s="24">
        <f t="shared" si="43"/>
        <v>0</v>
      </c>
      <c r="BF38" s="24">
        <f t="shared" si="43"/>
        <v>0</v>
      </c>
      <c r="BG38" s="24">
        <f t="shared" si="43"/>
        <v>0</v>
      </c>
      <c r="BH38" s="24">
        <f t="shared" si="43"/>
        <v>0</v>
      </c>
      <c r="BI38" s="24">
        <f t="shared" si="43"/>
        <v>0</v>
      </c>
      <c r="BJ38" s="24">
        <f t="shared" si="43"/>
        <v>0</v>
      </c>
      <c r="BK38" s="24">
        <f t="shared" si="43"/>
        <v>0</v>
      </c>
      <c r="BL38" s="24">
        <f t="shared" si="43"/>
        <v>0</v>
      </c>
      <c r="BM38" s="24">
        <f t="shared" si="43"/>
        <v>0</v>
      </c>
      <c r="BN38" s="24"/>
      <c r="BO38" s="24">
        <f>X38-AT38</f>
        <v>0</v>
      </c>
      <c r="BP38" s="24">
        <f>Y38-AU38</f>
        <v>0</v>
      </c>
      <c r="BQ38" s="24">
        <f>Z38-AV38</f>
        <v>0</v>
      </c>
      <c r="BR38" s="25">
        <f t="shared" si="10"/>
        <v>1</v>
      </c>
      <c r="BS38" s="24">
        <f t="shared" si="36"/>
        <v>105000000</v>
      </c>
      <c r="BT38" s="24"/>
      <c r="BU38" s="24"/>
      <c r="BV38" s="24"/>
      <c r="BW38" s="24"/>
      <c r="BX38" s="24"/>
      <c r="BY38" s="24"/>
      <c r="BZ38" s="24"/>
      <c r="CA38" s="24"/>
      <c r="CB38" s="24"/>
      <c r="CC38" s="24"/>
      <c r="CD38" s="24"/>
      <c r="CE38" s="24"/>
      <c r="CF38" s="24"/>
      <c r="CG38" s="24"/>
      <c r="CH38" s="24">
        <f>+'[6]JUNIO 2016'!$H$951</f>
        <v>105000000</v>
      </c>
      <c r="CI38" s="24"/>
      <c r="CJ38" s="24"/>
      <c r="CK38" s="24"/>
      <c r="CL38" s="24"/>
      <c r="CM38" s="24"/>
      <c r="CN38" s="25">
        <f t="shared" si="12"/>
        <v>0</v>
      </c>
      <c r="CO38" s="24">
        <f t="shared" si="37"/>
        <v>0</v>
      </c>
      <c r="CP38" s="24">
        <f t="shared" si="46"/>
        <v>0</v>
      </c>
      <c r="CQ38" s="24">
        <f t="shared" si="46"/>
        <v>0</v>
      </c>
      <c r="CR38" s="24">
        <f t="shared" si="46"/>
        <v>0</v>
      </c>
      <c r="CS38" s="24">
        <f t="shared" si="46"/>
        <v>0</v>
      </c>
      <c r="CT38" s="24">
        <f t="shared" si="46"/>
        <v>0</v>
      </c>
      <c r="CU38" s="24">
        <f t="shared" si="46"/>
        <v>0</v>
      </c>
      <c r="CV38" s="24">
        <f>N38-CA38</f>
        <v>0</v>
      </c>
      <c r="CW38" s="24">
        <f>O38-CB38</f>
        <v>0</v>
      </c>
      <c r="CX38" s="24">
        <f>P38-CC38</f>
        <v>0</v>
      </c>
      <c r="CY38" s="24">
        <f t="shared" si="48"/>
        <v>0</v>
      </c>
      <c r="CZ38" s="24">
        <f t="shared" si="48"/>
        <v>0</v>
      </c>
      <c r="DA38" s="24">
        <f t="shared" si="48"/>
        <v>0</v>
      </c>
      <c r="DB38" s="24">
        <f>T38-CG38</f>
        <v>0</v>
      </c>
      <c r="DC38" s="24">
        <f>U38-CH38</f>
        <v>0</v>
      </c>
      <c r="DD38" s="24">
        <f>V38-CI38</f>
        <v>0</v>
      </c>
      <c r="DE38" s="24"/>
      <c r="DF38" s="24">
        <f>X38-CK38</f>
        <v>0</v>
      </c>
      <c r="DG38" s="24">
        <f t="shared" si="51"/>
        <v>0</v>
      </c>
      <c r="DH38" s="24">
        <f>Z38-CM38</f>
        <v>0</v>
      </c>
    </row>
    <row r="39" spans="1:114" ht="33.75" customHeight="1" x14ac:dyDescent="0.25">
      <c r="A39" s="238"/>
      <c r="B39" s="231" t="s">
        <v>133</v>
      </c>
      <c r="C39" s="20" t="s">
        <v>134</v>
      </c>
      <c r="D39" s="21" t="s">
        <v>135</v>
      </c>
      <c r="E39" s="22">
        <v>410</v>
      </c>
      <c r="F39" s="23" t="s">
        <v>91</v>
      </c>
      <c r="G39" s="24">
        <f t="shared" si="31"/>
        <v>280000000</v>
      </c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>
        <v>280000000</v>
      </c>
      <c r="T39" s="24"/>
      <c r="U39" s="24"/>
      <c r="V39" s="24"/>
      <c r="W39" s="24"/>
      <c r="X39" s="24"/>
      <c r="Y39" s="24"/>
      <c r="Z39" s="24"/>
      <c r="AA39" s="25">
        <f t="shared" si="1"/>
        <v>0.75731989642857145</v>
      </c>
      <c r="AB39" s="24">
        <f t="shared" si="32"/>
        <v>212049571</v>
      </c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>
        <f>+'[1]SEPTIEMBRE 2016'!$W$1577</f>
        <v>212049571</v>
      </c>
      <c r="AP39" s="24"/>
      <c r="AQ39" s="24"/>
      <c r="AR39" s="24"/>
      <c r="AS39" s="24"/>
      <c r="AT39" s="24"/>
      <c r="AU39" s="24"/>
      <c r="AV39" s="24"/>
      <c r="AW39" s="25">
        <f t="shared" si="3"/>
        <v>0.24268010357142855</v>
      </c>
      <c r="AX39" s="24">
        <f t="shared" si="33"/>
        <v>67950429</v>
      </c>
      <c r="AY39" s="24">
        <f t="shared" si="43"/>
        <v>0</v>
      </c>
      <c r="AZ39" s="24">
        <f t="shared" si="43"/>
        <v>0</v>
      </c>
      <c r="BA39" s="24">
        <f t="shared" si="43"/>
        <v>0</v>
      </c>
      <c r="BB39" s="24">
        <f t="shared" ref="BB39:BM54" si="53">+K39-AG39</f>
        <v>0</v>
      </c>
      <c r="BC39" s="24">
        <f t="shared" si="53"/>
        <v>0</v>
      </c>
      <c r="BD39" s="24">
        <f t="shared" si="53"/>
        <v>0</v>
      </c>
      <c r="BE39" s="24">
        <f t="shared" si="53"/>
        <v>0</v>
      </c>
      <c r="BF39" s="24">
        <f t="shared" si="53"/>
        <v>0</v>
      </c>
      <c r="BG39" s="24">
        <f t="shared" si="53"/>
        <v>0</v>
      </c>
      <c r="BH39" s="24">
        <f t="shared" si="53"/>
        <v>0</v>
      </c>
      <c r="BI39" s="24">
        <f t="shared" si="53"/>
        <v>0</v>
      </c>
      <c r="BJ39" s="24">
        <f t="shared" si="53"/>
        <v>67950429</v>
      </c>
      <c r="BK39" s="24">
        <f t="shared" si="53"/>
        <v>0</v>
      </c>
      <c r="BL39" s="24">
        <f t="shared" si="53"/>
        <v>0</v>
      </c>
      <c r="BM39" s="24">
        <f t="shared" si="53"/>
        <v>0</v>
      </c>
      <c r="BN39" s="24"/>
      <c r="BO39" s="24"/>
      <c r="BP39" s="24">
        <f t="shared" ref="BP39:BP59" si="54">Y39-AU39</f>
        <v>0</v>
      </c>
      <c r="BQ39" s="24">
        <f t="shared" ref="BQ39:BQ59" si="55">+Z39-AV39</f>
        <v>0</v>
      </c>
      <c r="BR39" s="25">
        <f t="shared" si="10"/>
        <v>0.70542703928571426</v>
      </c>
      <c r="BS39" s="24">
        <f t="shared" si="36"/>
        <v>197519571</v>
      </c>
      <c r="BT39" s="24"/>
      <c r="BU39" s="24"/>
      <c r="BV39" s="24"/>
      <c r="BW39" s="24"/>
      <c r="BX39" s="24"/>
      <c r="BY39" s="24"/>
      <c r="BZ39" s="24"/>
      <c r="CA39" s="24"/>
      <c r="CB39" s="24"/>
      <c r="CC39" s="24"/>
      <c r="CD39" s="24"/>
      <c r="CE39" s="24"/>
      <c r="CF39" s="24">
        <f>+'[1]SEPTIEMBRE 2016'!$H$1575</f>
        <v>197519571</v>
      </c>
      <c r="CG39" s="24"/>
      <c r="CH39" s="24"/>
      <c r="CI39" s="24"/>
      <c r="CJ39" s="24"/>
      <c r="CK39" s="24"/>
      <c r="CL39" s="24"/>
      <c r="CM39" s="24"/>
      <c r="CN39" s="25">
        <f t="shared" si="12"/>
        <v>0.29457296071428574</v>
      </c>
      <c r="CO39" s="24">
        <f t="shared" si="37"/>
        <v>82480429</v>
      </c>
      <c r="CP39" s="24">
        <f t="shared" si="46"/>
        <v>0</v>
      </c>
      <c r="CQ39" s="24">
        <f t="shared" si="46"/>
        <v>0</v>
      </c>
      <c r="CR39" s="24">
        <f t="shared" si="46"/>
        <v>0</v>
      </c>
      <c r="CS39" s="24">
        <f t="shared" si="46"/>
        <v>0</v>
      </c>
      <c r="CT39" s="24">
        <f t="shared" si="46"/>
        <v>0</v>
      </c>
      <c r="CU39" s="24">
        <f t="shared" si="46"/>
        <v>0</v>
      </c>
      <c r="CV39" s="24">
        <f t="shared" ref="CV39:DA50" si="56">+N39-CA39</f>
        <v>0</v>
      </c>
      <c r="CW39" s="24">
        <f t="shared" si="56"/>
        <v>0</v>
      </c>
      <c r="CX39" s="24">
        <f t="shared" si="56"/>
        <v>0</v>
      </c>
      <c r="CY39" s="24">
        <f t="shared" si="48"/>
        <v>0</v>
      </c>
      <c r="CZ39" s="24">
        <f t="shared" si="48"/>
        <v>0</v>
      </c>
      <c r="DA39" s="24">
        <f t="shared" si="48"/>
        <v>82480429</v>
      </c>
      <c r="DB39" s="24">
        <f t="shared" ref="DB39:DD50" si="57">+T39-CG39</f>
        <v>0</v>
      </c>
      <c r="DC39" s="24">
        <f t="shared" si="57"/>
        <v>0</v>
      </c>
      <c r="DD39" s="24">
        <f t="shared" si="57"/>
        <v>0</v>
      </c>
      <c r="DE39" s="24"/>
      <c r="DF39" s="24">
        <f t="shared" ref="DF39:DF50" si="58">+X39-CK39</f>
        <v>0</v>
      </c>
      <c r="DG39" s="24">
        <f t="shared" si="51"/>
        <v>0</v>
      </c>
      <c r="DH39" s="24">
        <f t="shared" ref="DH39:DH50" si="59">+Z39-CM39</f>
        <v>0</v>
      </c>
    </row>
    <row r="40" spans="1:114" ht="42" customHeight="1" x14ac:dyDescent="0.25">
      <c r="A40" s="238"/>
      <c r="B40" s="232"/>
      <c r="C40" s="20" t="s">
        <v>136</v>
      </c>
      <c r="D40" s="53" t="s">
        <v>137</v>
      </c>
      <c r="E40" s="22">
        <v>410</v>
      </c>
      <c r="F40" s="23" t="s">
        <v>138</v>
      </c>
      <c r="G40" s="24">
        <f t="shared" si="31"/>
        <v>178627198</v>
      </c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>
        <v>7696735</v>
      </c>
      <c r="T40" s="24"/>
      <c r="U40" s="24">
        <v>147930463</v>
      </c>
      <c r="V40" s="24"/>
      <c r="W40" s="24"/>
      <c r="X40" s="24"/>
      <c r="Y40" s="54"/>
      <c r="Z40" s="54">
        <f>35000000+3000000-15000000</f>
        <v>23000000</v>
      </c>
      <c r="AA40" s="25">
        <f t="shared" si="1"/>
        <v>0.66904550000274876</v>
      </c>
      <c r="AB40" s="24">
        <f t="shared" si="32"/>
        <v>119509723</v>
      </c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4">
        <f>+'[6]JUNIO 2016'!$W$1028</f>
        <v>7654735</v>
      </c>
      <c r="AP40" s="24"/>
      <c r="AQ40" s="24">
        <f>+'[1]SEPTIEMBRE 2016'!$Y$1673</f>
        <v>89537065</v>
      </c>
      <c r="AR40" s="24"/>
      <c r="AS40" s="24"/>
      <c r="AT40" s="24"/>
      <c r="AU40" s="24"/>
      <c r="AV40" s="24">
        <f>+'[1]SEPTIEMBRE 2016'!$AG$1673</f>
        <v>22317923</v>
      </c>
      <c r="AW40" s="25">
        <f t="shared" si="3"/>
        <v>0.33095449999725124</v>
      </c>
      <c r="AX40" s="24">
        <f t="shared" si="33"/>
        <v>59117475</v>
      </c>
      <c r="AY40" s="24">
        <f t="shared" si="43"/>
        <v>0</v>
      </c>
      <c r="AZ40" s="24">
        <f t="shared" si="43"/>
        <v>0</v>
      </c>
      <c r="BA40" s="24">
        <f t="shared" si="43"/>
        <v>0</v>
      </c>
      <c r="BB40" s="24">
        <f t="shared" si="53"/>
        <v>0</v>
      </c>
      <c r="BC40" s="24">
        <f t="shared" si="53"/>
        <v>0</v>
      </c>
      <c r="BD40" s="24">
        <f t="shared" si="53"/>
        <v>0</v>
      </c>
      <c r="BE40" s="24">
        <f t="shared" si="53"/>
        <v>0</v>
      </c>
      <c r="BF40" s="24">
        <f t="shared" si="53"/>
        <v>0</v>
      </c>
      <c r="BG40" s="24">
        <f t="shared" si="53"/>
        <v>0</v>
      </c>
      <c r="BH40" s="24">
        <f t="shared" si="53"/>
        <v>0</v>
      </c>
      <c r="BI40" s="24">
        <f t="shared" si="53"/>
        <v>0</v>
      </c>
      <c r="BJ40" s="24">
        <f t="shared" si="53"/>
        <v>42000</v>
      </c>
      <c r="BK40" s="24">
        <f t="shared" si="53"/>
        <v>0</v>
      </c>
      <c r="BL40" s="24">
        <f t="shared" si="53"/>
        <v>58393398</v>
      </c>
      <c r="BM40" s="24">
        <f t="shared" si="53"/>
        <v>0</v>
      </c>
      <c r="BN40" s="24"/>
      <c r="BO40" s="24"/>
      <c r="BP40" s="24">
        <f t="shared" si="54"/>
        <v>0</v>
      </c>
      <c r="BQ40" s="24">
        <f t="shared" si="55"/>
        <v>682077</v>
      </c>
      <c r="BR40" s="25">
        <f t="shared" si="10"/>
        <v>0.62705800266765643</v>
      </c>
      <c r="BS40" s="24">
        <f t="shared" si="36"/>
        <v>112009614</v>
      </c>
      <c r="BT40" s="24"/>
      <c r="BU40" s="24"/>
      <c r="BV40" s="24"/>
      <c r="BW40" s="24"/>
      <c r="BX40" s="24"/>
      <c r="BY40" s="24"/>
      <c r="BZ40" s="24"/>
      <c r="CA40" s="24"/>
      <c r="CB40" s="24"/>
      <c r="CC40" s="24"/>
      <c r="CD40" s="24"/>
      <c r="CE40" s="24"/>
      <c r="CF40" s="24">
        <f>+'[7]MAYO 2016'!$H$901+'[7]MAYO 2016'!$H$904+'[7]MAYO 2016'!$H$906+'[7]MAYO 2016'!$W$908</f>
        <v>7654735</v>
      </c>
      <c r="CG40" s="24"/>
      <c r="CH40" s="24">
        <f>'[1]SEPTIEMBRE 2016'!$H$1671-CM40-CF40</f>
        <v>82036976</v>
      </c>
      <c r="CI40" s="24"/>
      <c r="CJ40" s="24"/>
      <c r="CK40" s="24"/>
      <c r="CL40" s="24"/>
      <c r="CM40" s="24">
        <f>+'[1]SEPTIEMBRE 2016'!$H$1676+'[1]SEPTIEMBRE 2016'!$H$1689+'[1]SEPTIEMBRE 2016'!$H$1691+'[1]SEPTIEMBRE 2016'!$H$1692+'[1]SEPTIEMBRE 2016'!$H$1694+'[1]SEPTIEMBRE 2016'!$H$1703+'[1]SEPTIEMBRE 2016'!$H$1712+'[1]SEPTIEMBRE 2016'!$H$1715+'[1]SEPTIEMBRE 2016'!$H$1720+'[1]SEPTIEMBRE 2016'!$H$1721+'[1]SEPTIEMBRE 2016'!$H$1723+'[1]SEPTIEMBRE 2016'!$H$1726+'[1]SEPTIEMBRE 2016'!$H$1737+'[1]SEPTIEMBRE 2016'!$H$1738+'[1]SEPTIEMBRE 2016'!$H$1739+'[1]SEPTIEMBRE 2016'!$H$1740</f>
        <v>22317903</v>
      </c>
      <c r="CN40" s="25">
        <f t="shared" si="12"/>
        <v>0.37294199733234357</v>
      </c>
      <c r="CO40" s="24">
        <f t="shared" si="37"/>
        <v>66617584</v>
      </c>
      <c r="CP40" s="24">
        <f t="shared" si="46"/>
        <v>0</v>
      </c>
      <c r="CQ40" s="24">
        <f t="shared" si="46"/>
        <v>0</v>
      </c>
      <c r="CR40" s="24">
        <f t="shared" si="46"/>
        <v>0</v>
      </c>
      <c r="CS40" s="24">
        <f t="shared" si="46"/>
        <v>0</v>
      </c>
      <c r="CT40" s="24">
        <f t="shared" si="46"/>
        <v>0</v>
      </c>
      <c r="CU40" s="24">
        <f t="shared" si="46"/>
        <v>0</v>
      </c>
      <c r="CV40" s="24">
        <f t="shared" si="56"/>
        <v>0</v>
      </c>
      <c r="CW40" s="24">
        <f t="shared" si="56"/>
        <v>0</v>
      </c>
      <c r="CX40" s="24">
        <f t="shared" si="56"/>
        <v>0</v>
      </c>
      <c r="CY40" s="24">
        <f t="shared" si="48"/>
        <v>0</v>
      </c>
      <c r="CZ40" s="24">
        <f t="shared" si="48"/>
        <v>0</v>
      </c>
      <c r="DA40" s="24">
        <f t="shared" si="48"/>
        <v>42000</v>
      </c>
      <c r="DB40" s="24">
        <f t="shared" si="57"/>
        <v>0</v>
      </c>
      <c r="DC40" s="24">
        <f t="shared" si="57"/>
        <v>65893487</v>
      </c>
      <c r="DD40" s="24">
        <f t="shared" si="57"/>
        <v>0</v>
      </c>
      <c r="DE40" s="24"/>
      <c r="DF40" s="24">
        <f t="shared" si="58"/>
        <v>0</v>
      </c>
      <c r="DG40" s="24">
        <f t="shared" si="51"/>
        <v>0</v>
      </c>
      <c r="DH40" s="24">
        <f t="shared" si="59"/>
        <v>682097</v>
      </c>
    </row>
    <row r="41" spans="1:114" ht="50.25" customHeight="1" x14ac:dyDescent="0.25">
      <c r="A41" s="238"/>
      <c r="B41" s="232"/>
      <c r="C41" s="20" t="s">
        <v>139</v>
      </c>
      <c r="D41" s="21" t="s">
        <v>140</v>
      </c>
      <c r="E41" s="22">
        <v>410</v>
      </c>
      <c r="F41" s="23" t="s">
        <v>91</v>
      </c>
      <c r="G41" s="24">
        <f t="shared" si="31"/>
        <v>200000000</v>
      </c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>
        <v>100000000</v>
      </c>
      <c r="T41" s="24"/>
      <c r="U41" s="24"/>
      <c r="V41" s="24"/>
      <c r="W41" s="24"/>
      <c r="X41" s="24"/>
      <c r="Y41" s="54">
        <f>62258164+37741836</f>
        <v>100000000</v>
      </c>
      <c r="Z41" s="54"/>
      <c r="AA41" s="25">
        <f t="shared" si="1"/>
        <v>0.54790000000000005</v>
      </c>
      <c r="AB41" s="24">
        <f t="shared" si="32"/>
        <v>109580000</v>
      </c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>
        <f>+'[2]ENERO 2016'!$W$352</f>
        <v>100000000</v>
      </c>
      <c r="AP41" s="24"/>
      <c r="AQ41" s="24"/>
      <c r="AR41" s="24"/>
      <c r="AS41" s="24"/>
      <c r="AT41" s="24"/>
      <c r="AU41" s="24">
        <f>+'[6]JUNIO 2016'!$AF$1063</f>
        <v>9580000</v>
      </c>
      <c r="AV41" s="24"/>
      <c r="AW41" s="25">
        <f t="shared" si="3"/>
        <v>0.45209999999999995</v>
      </c>
      <c r="AX41" s="24">
        <f t="shared" si="33"/>
        <v>90420000</v>
      </c>
      <c r="AY41" s="24">
        <f t="shared" si="43"/>
        <v>0</v>
      </c>
      <c r="AZ41" s="24">
        <f t="shared" si="43"/>
        <v>0</v>
      </c>
      <c r="BA41" s="24">
        <f t="shared" si="43"/>
        <v>0</v>
      </c>
      <c r="BB41" s="24">
        <f t="shared" si="53"/>
        <v>0</v>
      </c>
      <c r="BC41" s="24">
        <f t="shared" si="53"/>
        <v>0</v>
      </c>
      <c r="BD41" s="24">
        <f t="shared" si="53"/>
        <v>0</v>
      </c>
      <c r="BE41" s="24">
        <f t="shared" si="53"/>
        <v>0</v>
      </c>
      <c r="BF41" s="24">
        <f t="shared" si="53"/>
        <v>0</v>
      </c>
      <c r="BG41" s="24">
        <f t="shared" si="53"/>
        <v>0</v>
      </c>
      <c r="BH41" s="24">
        <f t="shared" si="53"/>
        <v>0</v>
      </c>
      <c r="BI41" s="24">
        <f t="shared" si="53"/>
        <v>0</v>
      </c>
      <c r="BJ41" s="24">
        <f t="shared" si="53"/>
        <v>0</v>
      </c>
      <c r="BK41" s="24">
        <f t="shared" si="53"/>
        <v>0</v>
      </c>
      <c r="BL41" s="24">
        <f t="shared" si="53"/>
        <v>0</v>
      </c>
      <c r="BM41" s="24">
        <f t="shared" si="53"/>
        <v>0</v>
      </c>
      <c r="BN41" s="24"/>
      <c r="BO41" s="24"/>
      <c r="BP41" s="24">
        <f t="shared" si="54"/>
        <v>90420000</v>
      </c>
      <c r="BQ41" s="24">
        <f t="shared" si="55"/>
        <v>0</v>
      </c>
      <c r="BR41" s="25">
        <f t="shared" si="10"/>
        <v>0.54790000000000005</v>
      </c>
      <c r="BS41" s="24">
        <f t="shared" si="36"/>
        <v>109580000</v>
      </c>
      <c r="BT41" s="24"/>
      <c r="BU41" s="24"/>
      <c r="BV41" s="24"/>
      <c r="BW41" s="24"/>
      <c r="BX41" s="24"/>
      <c r="BY41" s="24"/>
      <c r="BZ41" s="24"/>
      <c r="CA41" s="24"/>
      <c r="CB41" s="24"/>
      <c r="CC41" s="24"/>
      <c r="CD41" s="24"/>
      <c r="CE41" s="24"/>
      <c r="CF41" s="24">
        <f>+'[9]MARZO 2016 ULTIMO'!$H$622</f>
        <v>100000000</v>
      </c>
      <c r="CG41" s="24"/>
      <c r="CH41" s="24"/>
      <c r="CI41" s="24"/>
      <c r="CJ41" s="24"/>
      <c r="CK41" s="24"/>
      <c r="CL41" s="24">
        <f>+'[6]JUNIO 2016'!$AF$1063</f>
        <v>9580000</v>
      </c>
      <c r="CM41" s="24"/>
      <c r="CN41" s="25">
        <f t="shared" si="12"/>
        <v>0.45209999999999995</v>
      </c>
      <c r="CO41" s="24">
        <f t="shared" si="37"/>
        <v>90420000</v>
      </c>
      <c r="CP41" s="24">
        <f t="shared" si="46"/>
        <v>0</v>
      </c>
      <c r="CQ41" s="24">
        <f t="shared" si="46"/>
        <v>0</v>
      </c>
      <c r="CR41" s="24">
        <f t="shared" si="46"/>
        <v>0</v>
      </c>
      <c r="CS41" s="24">
        <f t="shared" si="46"/>
        <v>0</v>
      </c>
      <c r="CT41" s="24">
        <f t="shared" si="46"/>
        <v>0</v>
      </c>
      <c r="CU41" s="24">
        <f t="shared" si="46"/>
        <v>0</v>
      </c>
      <c r="CV41" s="24">
        <f t="shared" si="56"/>
        <v>0</v>
      </c>
      <c r="CW41" s="24">
        <f t="shared" si="56"/>
        <v>0</v>
      </c>
      <c r="CX41" s="24">
        <f t="shared" si="56"/>
        <v>0</v>
      </c>
      <c r="CY41" s="24">
        <f t="shared" si="48"/>
        <v>0</v>
      </c>
      <c r="CZ41" s="24">
        <f t="shared" si="48"/>
        <v>0</v>
      </c>
      <c r="DA41" s="24">
        <f t="shared" si="48"/>
        <v>0</v>
      </c>
      <c r="DB41" s="24">
        <f t="shared" si="57"/>
        <v>0</v>
      </c>
      <c r="DC41" s="24">
        <f t="shared" si="57"/>
        <v>0</v>
      </c>
      <c r="DD41" s="24">
        <f t="shared" si="57"/>
        <v>0</v>
      </c>
      <c r="DE41" s="24"/>
      <c r="DF41" s="24">
        <f t="shared" si="58"/>
        <v>0</v>
      </c>
      <c r="DG41" s="24">
        <f t="shared" si="51"/>
        <v>90420000</v>
      </c>
      <c r="DH41" s="24">
        <f t="shared" si="59"/>
        <v>0</v>
      </c>
    </row>
    <row r="42" spans="1:114" ht="33.75" customHeight="1" x14ac:dyDescent="0.25">
      <c r="A42" s="238"/>
      <c r="B42" s="233"/>
      <c r="C42" s="20" t="s">
        <v>141</v>
      </c>
      <c r="D42" s="21" t="s">
        <v>142</v>
      </c>
      <c r="E42" s="22">
        <v>410</v>
      </c>
      <c r="F42" s="23" t="s">
        <v>76</v>
      </c>
      <c r="G42" s="24">
        <f t="shared" si="31"/>
        <v>0</v>
      </c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54"/>
      <c r="Z42" s="54">
        <f>5000000-5000000</f>
        <v>0</v>
      </c>
      <c r="AA42" s="25" t="e">
        <f t="shared" si="1"/>
        <v>#DIV/0!</v>
      </c>
      <c r="AB42" s="24">
        <f t="shared" si="32"/>
        <v>0</v>
      </c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5" t="e">
        <f t="shared" si="3"/>
        <v>#DIV/0!</v>
      </c>
      <c r="AX42" s="24">
        <f t="shared" si="33"/>
        <v>0</v>
      </c>
      <c r="AY42" s="24">
        <f t="shared" si="43"/>
        <v>0</v>
      </c>
      <c r="AZ42" s="24">
        <f t="shared" si="43"/>
        <v>0</v>
      </c>
      <c r="BA42" s="24">
        <f t="shared" si="43"/>
        <v>0</v>
      </c>
      <c r="BB42" s="24">
        <f t="shared" si="53"/>
        <v>0</v>
      </c>
      <c r="BC42" s="24">
        <f t="shared" si="53"/>
        <v>0</v>
      </c>
      <c r="BD42" s="24">
        <f t="shared" si="53"/>
        <v>0</v>
      </c>
      <c r="BE42" s="24">
        <f t="shared" si="53"/>
        <v>0</v>
      </c>
      <c r="BF42" s="24">
        <f t="shared" si="53"/>
        <v>0</v>
      </c>
      <c r="BG42" s="24">
        <f t="shared" si="53"/>
        <v>0</v>
      </c>
      <c r="BH42" s="24">
        <f t="shared" si="53"/>
        <v>0</v>
      </c>
      <c r="BI42" s="24">
        <f t="shared" si="53"/>
        <v>0</v>
      </c>
      <c r="BJ42" s="24">
        <f t="shared" si="53"/>
        <v>0</v>
      </c>
      <c r="BK42" s="24">
        <f t="shared" si="53"/>
        <v>0</v>
      </c>
      <c r="BL42" s="24">
        <f t="shared" si="53"/>
        <v>0</v>
      </c>
      <c r="BM42" s="24">
        <f t="shared" si="53"/>
        <v>0</v>
      </c>
      <c r="BN42" s="24"/>
      <c r="BO42" s="24"/>
      <c r="BP42" s="24">
        <f t="shared" si="54"/>
        <v>0</v>
      </c>
      <c r="BQ42" s="24">
        <f t="shared" si="55"/>
        <v>0</v>
      </c>
      <c r="BR42" s="25" t="e">
        <f t="shared" si="10"/>
        <v>#DIV/0!</v>
      </c>
      <c r="BS42" s="24">
        <f t="shared" si="36"/>
        <v>0</v>
      </c>
      <c r="BT42" s="24"/>
      <c r="BU42" s="24"/>
      <c r="BV42" s="24"/>
      <c r="BW42" s="24"/>
      <c r="BX42" s="24"/>
      <c r="BY42" s="24"/>
      <c r="BZ42" s="24"/>
      <c r="CA42" s="24"/>
      <c r="CB42" s="24"/>
      <c r="CC42" s="24"/>
      <c r="CD42" s="24"/>
      <c r="CE42" s="24"/>
      <c r="CF42" s="24"/>
      <c r="CG42" s="24"/>
      <c r="CH42" s="24"/>
      <c r="CI42" s="24"/>
      <c r="CJ42" s="24"/>
      <c r="CK42" s="24"/>
      <c r="CL42" s="24"/>
      <c r="CM42" s="24"/>
      <c r="CN42" s="25" t="e">
        <f t="shared" si="12"/>
        <v>#DIV/0!</v>
      </c>
      <c r="CO42" s="24">
        <f t="shared" si="37"/>
        <v>0</v>
      </c>
      <c r="CP42" s="24">
        <f t="shared" si="46"/>
        <v>0</v>
      </c>
      <c r="CQ42" s="24">
        <f t="shared" si="46"/>
        <v>0</v>
      </c>
      <c r="CR42" s="24">
        <f t="shared" si="46"/>
        <v>0</v>
      </c>
      <c r="CS42" s="24">
        <f t="shared" si="46"/>
        <v>0</v>
      </c>
      <c r="CT42" s="24">
        <f t="shared" si="46"/>
        <v>0</v>
      </c>
      <c r="CU42" s="24">
        <f t="shared" si="46"/>
        <v>0</v>
      </c>
      <c r="CV42" s="24">
        <f t="shared" si="56"/>
        <v>0</v>
      </c>
      <c r="CW42" s="24">
        <f t="shared" si="56"/>
        <v>0</v>
      </c>
      <c r="CX42" s="24">
        <f t="shared" si="56"/>
        <v>0</v>
      </c>
      <c r="CY42" s="24">
        <f t="shared" si="48"/>
        <v>0</v>
      </c>
      <c r="CZ42" s="24">
        <f t="shared" si="48"/>
        <v>0</v>
      </c>
      <c r="DA42" s="24">
        <f t="shared" si="48"/>
        <v>0</v>
      </c>
      <c r="DB42" s="24">
        <f t="shared" si="57"/>
        <v>0</v>
      </c>
      <c r="DC42" s="24">
        <f t="shared" si="57"/>
        <v>0</v>
      </c>
      <c r="DD42" s="24">
        <f t="shared" si="57"/>
        <v>0</v>
      </c>
      <c r="DE42" s="24"/>
      <c r="DF42" s="24">
        <f t="shared" si="58"/>
        <v>0</v>
      </c>
      <c r="DG42" s="24">
        <f t="shared" si="51"/>
        <v>0</v>
      </c>
      <c r="DH42" s="24">
        <f t="shared" si="59"/>
        <v>0</v>
      </c>
    </row>
    <row r="43" spans="1:114" x14ac:dyDescent="0.25">
      <c r="A43" s="238"/>
      <c r="B43" s="231" t="s">
        <v>143</v>
      </c>
      <c r="C43" s="20" t="s">
        <v>144</v>
      </c>
      <c r="D43" s="21" t="s">
        <v>145</v>
      </c>
      <c r="E43" s="22">
        <v>410</v>
      </c>
      <c r="F43" s="23" t="s">
        <v>91</v>
      </c>
      <c r="G43" s="24">
        <f t="shared" si="31"/>
        <v>1828304065</v>
      </c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>
        <f>1300000000+44000000-44000000+488711643+13621206+25971216</f>
        <v>1828304065</v>
      </c>
      <c r="S43" s="24"/>
      <c r="T43" s="24"/>
      <c r="U43" s="24"/>
      <c r="V43" s="24"/>
      <c r="W43" s="24"/>
      <c r="X43" s="24"/>
      <c r="Y43" s="54"/>
      <c r="Z43" s="54"/>
      <c r="AA43" s="25">
        <f t="shared" si="1"/>
        <v>0.97482030922465845</v>
      </c>
      <c r="AB43" s="24">
        <f t="shared" si="32"/>
        <v>1782267934</v>
      </c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>
        <f>+'[1]SEPTIEMBRE 2016'!$V$1765</f>
        <v>1782267934</v>
      </c>
      <c r="AO43" s="24"/>
      <c r="AP43" s="24"/>
      <c r="AQ43" s="24"/>
      <c r="AR43" s="24"/>
      <c r="AS43" s="24"/>
      <c r="AT43" s="24"/>
      <c r="AU43" s="24"/>
      <c r="AV43" s="24"/>
      <c r="AW43" s="25">
        <f t="shared" si="3"/>
        <v>2.5179690775341546E-2</v>
      </c>
      <c r="AX43" s="24">
        <f t="shared" si="33"/>
        <v>46036131</v>
      </c>
      <c r="AY43" s="24">
        <f t="shared" si="43"/>
        <v>0</v>
      </c>
      <c r="AZ43" s="24">
        <f t="shared" si="43"/>
        <v>0</v>
      </c>
      <c r="BA43" s="24">
        <f t="shared" si="43"/>
        <v>0</v>
      </c>
      <c r="BB43" s="24">
        <f t="shared" si="53"/>
        <v>0</v>
      </c>
      <c r="BC43" s="24">
        <f t="shared" si="53"/>
        <v>0</v>
      </c>
      <c r="BD43" s="24">
        <f t="shared" si="53"/>
        <v>0</v>
      </c>
      <c r="BE43" s="24">
        <f t="shared" si="53"/>
        <v>0</v>
      </c>
      <c r="BF43" s="24">
        <f t="shared" si="53"/>
        <v>0</v>
      </c>
      <c r="BG43" s="24">
        <f t="shared" si="53"/>
        <v>0</v>
      </c>
      <c r="BH43" s="24">
        <f t="shared" si="53"/>
        <v>0</v>
      </c>
      <c r="BI43" s="24">
        <f t="shared" si="53"/>
        <v>46036131</v>
      </c>
      <c r="BJ43" s="24">
        <f t="shared" si="53"/>
        <v>0</v>
      </c>
      <c r="BK43" s="24">
        <f t="shared" si="53"/>
        <v>0</v>
      </c>
      <c r="BL43" s="24">
        <f t="shared" si="53"/>
        <v>0</v>
      </c>
      <c r="BM43" s="24">
        <f t="shared" si="53"/>
        <v>0</v>
      </c>
      <c r="BN43" s="24"/>
      <c r="BO43" s="24">
        <f>+X43-AT43</f>
        <v>0</v>
      </c>
      <c r="BP43" s="24">
        <f t="shared" si="54"/>
        <v>0</v>
      </c>
      <c r="BQ43" s="24">
        <f t="shared" si="55"/>
        <v>0</v>
      </c>
      <c r="BR43" s="25">
        <f t="shared" si="10"/>
        <v>0.65478605824792058</v>
      </c>
      <c r="BS43" s="24">
        <f t="shared" si="36"/>
        <v>1197148012</v>
      </c>
      <c r="BT43" s="24"/>
      <c r="BU43" s="24"/>
      <c r="BV43" s="24"/>
      <c r="BW43" s="24"/>
      <c r="BX43" s="24"/>
      <c r="BY43" s="24"/>
      <c r="BZ43" s="24"/>
      <c r="CA43" s="24"/>
      <c r="CB43" s="24"/>
      <c r="CC43" s="24"/>
      <c r="CD43" s="24"/>
      <c r="CE43" s="24">
        <f>+'[1]SEPTIEMBRE 2016'!$H$1763</f>
        <v>1197148012</v>
      </c>
      <c r="CF43" s="24"/>
      <c r="CG43" s="24"/>
      <c r="CH43" s="24"/>
      <c r="CI43" s="24"/>
      <c r="CJ43" s="24"/>
      <c r="CK43" s="24"/>
      <c r="CL43" s="24"/>
      <c r="CM43" s="24"/>
      <c r="CN43" s="25">
        <f t="shared" si="12"/>
        <v>0.34521394175207942</v>
      </c>
      <c r="CO43" s="24">
        <f t="shared" si="37"/>
        <v>631156053</v>
      </c>
      <c r="CP43" s="24">
        <f t="shared" si="46"/>
        <v>0</v>
      </c>
      <c r="CQ43" s="24">
        <f t="shared" si="46"/>
        <v>0</v>
      </c>
      <c r="CR43" s="24">
        <f t="shared" si="46"/>
        <v>0</v>
      </c>
      <c r="CS43" s="24">
        <f t="shared" si="46"/>
        <v>0</v>
      </c>
      <c r="CT43" s="24">
        <f t="shared" si="46"/>
        <v>0</v>
      </c>
      <c r="CU43" s="24">
        <f t="shared" si="46"/>
        <v>0</v>
      </c>
      <c r="CV43" s="24">
        <f t="shared" si="56"/>
        <v>0</v>
      </c>
      <c r="CW43" s="24">
        <f t="shared" si="56"/>
        <v>0</v>
      </c>
      <c r="CX43" s="24">
        <f t="shared" si="56"/>
        <v>0</v>
      </c>
      <c r="CY43" s="24">
        <f t="shared" si="48"/>
        <v>0</v>
      </c>
      <c r="CZ43" s="24">
        <f t="shared" si="48"/>
        <v>631156053</v>
      </c>
      <c r="DA43" s="24">
        <f t="shared" si="48"/>
        <v>0</v>
      </c>
      <c r="DB43" s="24">
        <f t="shared" si="57"/>
        <v>0</v>
      </c>
      <c r="DC43" s="24">
        <f t="shared" si="57"/>
        <v>0</v>
      </c>
      <c r="DD43" s="24">
        <f t="shared" si="57"/>
        <v>0</v>
      </c>
      <c r="DE43" s="24"/>
      <c r="DF43" s="24">
        <f t="shared" si="58"/>
        <v>0</v>
      </c>
      <c r="DG43" s="24">
        <f t="shared" si="51"/>
        <v>0</v>
      </c>
      <c r="DH43" s="24">
        <f t="shared" si="59"/>
        <v>0</v>
      </c>
    </row>
    <row r="44" spans="1:114" ht="30" x14ac:dyDescent="0.25">
      <c r="A44" s="238"/>
      <c r="B44" s="232"/>
      <c r="C44" s="20" t="s">
        <v>146</v>
      </c>
      <c r="D44" s="21" t="s">
        <v>147</v>
      </c>
      <c r="E44" s="22">
        <v>410</v>
      </c>
      <c r="F44" s="23" t="s">
        <v>91</v>
      </c>
      <c r="G44" s="24">
        <f t="shared" si="31"/>
        <v>96094870</v>
      </c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>
        <f>50000000+3094870+20000000+23000000</f>
        <v>96094870</v>
      </c>
      <c r="V44" s="24"/>
      <c r="W44" s="24"/>
      <c r="X44" s="24"/>
      <c r="Y44" s="54"/>
      <c r="Z44" s="54"/>
      <c r="AA44" s="25">
        <f t="shared" si="1"/>
        <v>0.93566407863395828</v>
      </c>
      <c r="AB44" s="24">
        <f t="shared" si="32"/>
        <v>89912518</v>
      </c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>
        <f>+'[1]SEPTIEMBRE 2016'!$Y$2284</f>
        <v>89912518</v>
      </c>
      <c r="AR44" s="24"/>
      <c r="AS44" s="24"/>
      <c r="AT44" s="24"/>
      <c r="AU44" s="24"/>
      <c r="AV44" s="24"/>
      <c r="AW44" s="25">
        <f t="shared" si="3"/>
        <v>6.4335921366041715E-2</v>
      </c>
      <c r="AX44" s="24">
        <f t="shared" si="33"/>
        <v>6182352</v>
      </c>
      <c r="AY44" s="24">
        <f t="shared" si="43"/>
        <v>0</v>
      </c>
      <c r="AZ44" s="24">
        <f t="shared" si="43"/>
        <v>0</v>
      </c>
      <c r="BA44" s="24">
        <f t="shared" si="43"/>
        <v>0</v>
      </c>
      <c r="BB44" s="24">
        <f t="shared" si="53"/>
        <v>0</v>
      </c>
      <c r="BC44" s="24">
        <f t="shared" si="53"/>
        <v>0</v>
      </c>
      <c r="BD44" s="24">
        <f t="shared" si="53"/>
        <v>0</v>
      </c>
      <c r="BE44" s="24">
        <f t="shared" si="53"/>
        <v>0</v>
      </c>
      <c r="BF44" s="24">
        <f>+O44-AL44</f>
        <v>0</v>
      </c>
      <c r="BG44" s="24">
        <f>+P44-AM44</f>
        <v>0</v>
      </c>
      <c r="BH44" s="24">
        <f t="shared" si="53"/>
        <v>0</v>
      </c>
      <c r="BI44" s="24">
        <f t="shared" si="53"/>
        <v>0</v>
      </c>
      <c r="BJ44" s="24">
        <f t="shared" si="53"/>
        <v>0</v>
      </c>
      <c r="BK44" s="24">
        <f t="shared" si="53"/>
        <v>0</v>
      </c>
      <c r="BL44" s="24">
        <f t="shared" si="53"/>
        <v>6182352</v>
      </c>
      <c r="BM44" s="24">
        <f t="shared" si="53"/>
        <v>0</v>
      </c>
      <c r="BN44" s="24"/>
      <c r="BO44" s="24">
        <f>+X44-AT44</f>
        <v>0</v>
      </c>
      <c r="BP44" s="24">
        <f t="shared" si="54"/>
        <v>0</v>
      </c>
      <c r="BQ44" s="24">
        <f t="shared" si="55"/>
        <v>0</v>
      </c>
      <c r="BR44" s="25">
        <f t="shared" si="10"/>
        <v>0.74003816228691499</v>
      </c>
      <c r="BS44" s="24">
        <f t="shared" si="36"/>
        <v>71113871</v>
      </c>
      <c r="BT44" s="24"/>
      <c r="BU44" s="24"/>
      <c r="BV44" s="24"/>
      <c r="BW44" s="24"/>
      <c r="BX44" s="24"/>
      <c r="BY44" s="24"/>
      <c r="BZ44" s="24"/>
      <c r="CA44" s="24"/>
      <c r="CB44" s="24"/>
      <c r="CC44" s="24"/>
      <c r="CD44" s="24"/>
      <c r="CE44" s="24"/>
      <c r="CF44" s="24"/>
      <c r="CG44" s="24"/>
      <c r="CH44" s="24">
        <f>+'[1]SEPTIEMBRE 2016'!$H$2282</f>
        <v>71113871</v>
      </c>
      <c r="CI44" s="24"/>
      <c r="CJ44" s="24"/>
      <c r="CK44" s="24"/>
      <c r="CL44" s="24"/>
      <c r="CM44" s="24"/>
      <c r="CN44" s="25">
        <f t="shared" si="12"/>
        <v>0.25996183771308501</v>
      </c>
      <c r="CO44" s="24">
        <f t="shared" si="37"/>
        <v>24980999</v>
      </c>
      <c r="CP44" s="24">
        <f t="shared" si="46"/>
        <v>0</v>
      </c>
      <c r="CQ44" s="24">
        <f t="shared" si="46"/>
        <v>0</v>
      </c>
      <c r="CR44" s="24">
        <f t="shared" si="46"/>
        <v>0</v>
      </c>
      <c r="CS44" s="24">
        <f t="shared" si="46"/>
        <v>0</v>
      </c>
      <c r="CT44" s="24">
        <f t="shared" si="46"/>
        <v>0</v>
      </c>
      <c r="CU44" s="24">
        <f t="shared" si="46"/>
        <v>0</v>
      </c>
      <c r="CV44" s="24">
        <f t="shared" si="56"/>
        <v>0</v>
      </c>
      <c r="CW44" s="24">
        <f t="shared" si="56"/>
        <v>0</v>
      </c>
      <c r="CX44" s="24">
        <f t="shared" si="56"/>
        <v>0</v>
      </c>
      <c r="CY44" s="24">
        <f t="shared" si="48"/>
        <v>0</v>
      </c>
      <c r="CZ44" s="24">
        <f t="shared" si="48"/>
        <v>0</v>
      </c>
      <c r="DA44" s="24">
        <f t="shared" si="48"/>
        <v>0</v>
      </c>
      <c r="DB44" s="24">
        <f t="shared" si="57"/>
        <v>0</v>
      </c>
      <c r="DC44" s="24">
        <f t="shared" si="57"/>
        <v>24980999</v>
      </c>
      <c r="DD44" s="24">
        <f t="shared" si="57"/>
        <v>0</v>
      </c>
      <c r="DE44" s="24"/>
      <c r="DF44" s="24">
        <f t="shared" si="58"/>
        <v>0</v>
      </c>
      <c r="DG44" s="24">
        <f t="shared" si="51"/>
        <v>0</v>
      </c>
      <c r="DH44" s="24">
        <f t="shared" si="59"/>
        <v>0</v>
      </c>
    </row>
    <row r="45" spans="1:114" x14ac:dyDescent="0.25">
      <c r="A45" s="238"/>
      <c r="B45" s="233"/>
      <c r="C45" s="20" t="s">
        <v>148</v>
      </c>
      <c r="D45" s="21" t="s">
        <v>149</v>
      </c>
      <c r="E45" s="22">
        <v>410</v>
      </c>
      <c r="F45" s="23" t="s">
        <v>91</v>
      </c>
      <c r="G45" s="24">
        <f t="shared" si="31"/>
        <v>22111130</v>
      </c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>
        <f>20000000-3094870+5206000</f>
        <v>22111130</v>
      </c>
      <c r="V45" s="24"/>
      <c r="W45" s="24"/>
      <c r="X45" s="24"/>
      <c r="Y45" s="54"/>
      <c r="Z45" s="54"/>
      <c r="AA45" s="25">
        <f t="shared" si="1"/>
        <v>0.76455296495475356</v>
      </c>
      <c r="AB45" s="24">
        <f t="shared" si="32"/>
        <v>16905130</v>
      </c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4"/>
      <c r="AQ45" s="24">
        <f>+'[9]MARZO 2016 ULTIMO'!$Y$724</f>
        <v>16905130</v>
      </c>
      <c r="AR45" s="24"/>
      <c r="AS45" s="24"/>
      <c r="AT45" s="24"/>
      <c r="AU45" s="24"/>
      <c r="AV45" s="24"/>
      <c r="AW45" s="25">
        <f t="shared" si="3"/>
        <v>0.23544703504524644</v>
      </c>
      <c r="AX45" s="24">
        <f t="shared" si="33"/>
        <v>5206000</v>
      </c>
      <c r="AY45" s="24">
        <f t="shared" si="43"/>
        <v>0</v>
      </c>
      <c r="AZ45" s="24">
        <f t="shared" si="43"/>
        <v>0</v>
      </c>
      <c r="BA45" s="24">
        <f t="shared" si="43"/>
        <v>0</v>
      </c>
      <c r="BB45" s="24">
        <f t="shared" si="53"/>
        <v>0</v>
      </c>
      <c r="BC45" s="24">
        <f t="shared" si="53"/>
        <v>0</v>
      </c>
      <c r="BD45" s="24">
        <f t="shared" si="53"/>
        <v>0</v>
      </c>
      <c r="BE45" s="24">
        <f t="shared" si="53"/>
        <v>0</v>
      </c>
      <c r="BF45" s="24">
        <f>+O45-AL45</f>
        <v>0</v>
      </c>
      <c r="BG45" s="24">
        <f>+P45-AM45</f>
        <v>0</v>
      </c>
      <c r="BH45" s="24">
        <f t="shared" si="53"/>
        <v>0</v>
      </c>
      <c r="BI45" s="24">
        <f t="shared" si="53"/>
        <v>0</v>
      </c>
      <c r="BJ45" s="24">
        <f t="shared" si="53"/>
        <v>0</v>
      </c>
      <c r="BK45" s="24"/>
      <c r="BL45" s="24">
        <f t="shared" si="53"/>
        <v>5206000</v>
      </c>
      <c r="BM45" s="24">
        <f t="shared" si="53"/>
        <v>0</v>
      </c>
      <c r="BN45" s="24"/>
      <c r="BO45" s="24"/>
      <c r="BP45" s="24">
        <f t="shared" si="54"/>
        <v>0</v>
      </c>
      <c r="BQ45" s="24">
        <f t="shared" si="55"/>
        <v>0</v>
      </c>
      <c r="BR45" s="25">
        <f t="shared" si="10"/>
        <v>0.76455296495475356</v>
      </c>
      <c r="BS45" s="24">
        <f t="shared" si="36"/>
        <v>16905130</v>
      </c>
      <c r="BT45" s="24"/>
      <c r="BU45" s="24"/>
      <c r="BV45" s="24"/>
      <c r="BW45" s="24"/>
      <c r="BX45" s="24"/>
      <c r="BY45" s="24"/>
      <c r="BZ45" s="24"/>
      <c r="CA45" s="24"/>
      <c r="CB45" s="24"/>
      <c r="CC45" s="24"/>
      <c r="CD45" s="24"/>
      <c r="CE45" s="24"/>
      <c r="CF45" s="24"/>
      <c r="CG45" s="24"/>
      <c r="CH45" s="24">
        <f>+'[8]ABRIL 2016'!$H$929</f>
        <v>16905130</v>
      </c>
      <c r="CI45" s="24"/>
      <c r="CJ45" s="24"/>
      <c r="CK45" s="24"/>
      <c r="CL45" s="24"/>
      <c r="CM45" s="24"/>
      <c r="CN45" s="25">
        <f t="shared" si="12"/>
        <v>0.23544703504524644</v>
      </c>
      <c r="CO45" s="24">
        <f t="shared" si="37"/>
        <v>5206000</v>
      </c>
      <c r="CP45" s="24">
        <f t="shared" si="46"/>
        <v>0</v>
      </c>
      <c r="CQ45" s="24">
        <f t="shared" si="46"/>
        <v>0</v>
      </c>
      <c r="CR45" s="24">
        <f t="shared" si="46"/>
        <v>0</v>
      </c>
      <c r="CS45" s="24">
        <f t="shared" si="46"/>
        <v>0</v>
      </c>
      <c r="CT45" s="24">
        <f t="shared" si="46"/>
        <v>0</v>
      </c>
      <c r="CU45" s="24">
        <f t="shared" si="46"/>
        <v>0</v>
      </c>
      <c r="CV45" s="24">
        <f t="shared" si="56"/>
        <v>0</v>
      </c>
      <c r="CW45" s="24">
        <f t="shared" si="56"/>
        <v>0</v>
      </c>
      <c r="CX45" s="24">
        <f t="shared" si="56"/>
        <v>0</v>
      </c>
      <c r="CY45" s="24">
        <f t="shared" si="48"/>
        <v>0</v>
      </c>
      <c r="CZ45" s="24">
        <f t="shared" si="48"/>
        <v>0</v>
      </c>
      <c r="DA45" s="24">
        <f t="shared" si="48"/>
        <v>0</v>
      </c>
      <c r="DB45" s="24">
        <f t="shared" si="57"/>
        <v>0</v>
      </c>
      <c r="DC45" s="24">
        <f t="shared" si="57"/>
        <v>5206000</v>
      </c>
      <c r="DD45" s="24">
        <f t="shared" si="57"/>
        <v>0</v>
      </c>
      <c r="DE45" s="24"/>
      <c r="DF45" s="24">
        <f t="shared" si="58"/>
        <v>0</v>
      </c>
      <c r="DG45" s="24">
        <f t="shared" si="51"/>
        <v>0</v>
      </c>
      <c r="DH45" s="24">
        <f t="shared" si="59"/>
        <v>0</v>
      </c>
    </row>
    <row r="46" spans="1:114" ht="30" x14ac:dyDescent="0.25">
      <c r="A46" s="238"/>
      <c r="B46" s="231" t="s">
        <v>150</v>
      </c>
      <c r="C46" s="20" t="s">
        <v>151</v>
      </c>
      <c r="D46" s="21" t="s">
        <v>152</v>
      </c>
      <c r="E46" s="22">
        <v>410</v>
      </c>
      <c r="F46" s="23" t="s">
        <v>91</v>
      </c>
      <c r="G46" s="24">
        <f t="shared" si="31"/>
        <v>20000000</v>
      </c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>
        <v>20000000</v>
      </c>
      <c r="V46" s="24"/>
      <c r="W46" s="24"/>
      <c r="X46" s="24"/>
      <c r="Y46" s="54"/>
      <c r="Z46" s="54"/>
      <c r="AA46" s="25">
        <f t="shared" si="1"/>
        <v>1</v>
      </c>
      <c r="AB46" s="24">
        <f t="shared" si="32"/>
        <v>20000000</v>
      </c>
      <c r="AC46" s="24"/>
      <c r="AD46" s="24"/>
      <c r="AE46" s="24"/>
      <c r="AF46" s="24"/>
      <c r="AG46" s="24"/>
      <c r="AH46" s="24"/>
      <c r="AI46" s="24"/>
      <c r="AJ46" s="24"/>
      <c r="AK46" s="24"/>
      <c r="AL46" s="24"/>
      <c r="AM46" s="24"/>
      <c r="AN46" s="24"/>
      <c r="AO46" s="24"/>
      <c r="AP46" s="24"/>
      <c r="AQ46" s="24">
        <f>+'[2]ENERO 2016'!$Y$406</f>
        <v>20000000</v>
      </c>
      <c r="AR46" s="24"/>
      <c r="AS46" s="24"/>
      <c r="AT46" s="24"/>
      <c r="AU46" s="24"/>
      <c r="AV46" s="24"/>
      <c r="AW46" s="25">
        <f t="shared" si="3"/>
        <v>0</v>
      </c>
      <c r="AX46" s="24">
        <f t="shared" si="33"/>
        <v>0</v>
      </c>
      <c r="AY46" s="24">
        <f t="shared" si="43"/>
        <v>0</v>
      </c>
      <c r="AZ46" s="24">
        <f t="shared" si="43"/>
        <v>0</v>
      </c>
      <c r="BA46" s="24">
        <f t="shared" si="43"/>
        <v>0</v>
      </c>
      <c r="BB46" s="24">
        <f t="shared" si="53"/>
        <v>0</v>
      </c>
      <c r="BC46" s="24">
        <f t="shared" si="53"/>
        <v>0</v>
      </c>
      <c r="BD46" s="24">
        <f t="shared" si="53"/>
        <v>0</v>
      </c>
      <c r="BE46" s="24">
        <f t="shared" si="53"/>
        <v>0</v>
      </c>
      <c r="BF46" s="24">
        <f t="shared" si="53"/>
        <v>0</v>
      </c>
      <c r="BG46" s="24">
        <f t="shared" ref="BG46:BG59" si="60">+P46-AM46</f>
        <v>0</v>
      </c>
      <c r="BH46" s="24">
        <f t="shared" si="53"/>
        <v>0</v>
      </c>
      <c r="BI46" s="24">
        <f t="shared" si="53"/>
        <v>0</v>
      </c>
      <c r="BJ46" s="24">
        <f t="shared" si="53"/>
        <v>0</v>
      </c>
      <c r="BK46" s="24">
        <f>+T46-AP46</f>
        <v>0</v>
      </c>
      <c r="BL46" s="24">
        <f t="shared" si="53"/>
        <v>0</v>
      </c>
      <c r="BM46" s="24">
        <f t="shared" si="53"/>
        <v>0</v>
      </c>
      <c r="BN46" s="24"/>
      <c r="BO46" s="24">
        <f>+X46-AT46</f>
        <v>0</v>
      </c>
      <c r="BP46" s="24">
        <f t="shared" si="54"/>
        <v>0</v>
      </c>
      <c r="BQ46" s="24">
        <f t="shared" si="55"/>
        <v>0</v>
      </c>
      <c r="BR46" s="25">
        <f t="shared" si="10"/>
        <v>1</v>
      </c>
      <c r="BS46" s="24">
        <f t="shared" si="36"/>
        <v>20000000</v>
      </c>
      <c r="BT46" s="24"/>
      <c r="BU46" s="24"/>
      <c r="BV46" s="24"/>
      <c r="BW46" s="24"/>
      <c r="BX46" s="24"/>
      <c r="BY46" s="24"/>
      <c r="BZ46" s="24"/>
      <c r="CA46" s="24"/>
      <c r="CB46" s="24"/>
      <c r="CC46" s="24"/>
      <c r="CD46" s="24"/>
      <c r="CE46" s="24"/>
      <c r="CF46" s="24"/>
      <c r="CG46" s="24"/>
      <c r="CH46" s="24">
        <f>+'[5]JULIO 2016'!$H$1402</f>
        <v>20000000</v>
      </c>
      <c r="CI46" s="24"/>
      <c r="CJ46" s="24"/>
      <c r="CK46" s="24"/>
      <c r="CL46" s="24"/>
      <c r="CM46" s="24"/>
      <c r="CN46" s="25">
        <f t="shared" si="12"/>
        <v>0</v>
      </c>
      <c r="CO46" s="24">
        <f t="shared" si="37"/>
        <v>0</v>
      </c>
      <c r="CP46" s="24">
        <f t="shared" si="46"/>
        <v>0</v>
      </c>
      <c r="CQ46" s="24">
        <f t="shared" si="46"/>
        <v>0</v>
      </c>
      <c r="CR46" s="24">
        <f t="shared" si="46"/>
        <v>0</v>
      </c>
      <c r="CS46" s="24">
        <f t="shared" si="46"/>
        <v>0</v>
      </c>
      <c r="CT46" s="24">
        <f t="shared" si="46"/>
        <v>0</v>
      </c>
      <c r="CU46" s="24">
        <f t="shared" si="46"/>
        <v>0</v>
      </c>
      <c r="CV46" s="24">
        <f t="shared" si="56"/>
        <v>0</v>
      </c>
      <c r="CW46" s="24">
        <f t="shared" si="56"/>
        <v>0</v>
      </c>
      <c r="CX46" s="24">
        <f t="shared" si="56"/>
        <v>0</v>
      </c>
      <c r="CY46" s="24">
        <f t="shared" si="48"/>
        <v>0</v>
      </c>
      <c r="CZ46" s="24">
        <f t="shared" si="48"/>
        <v>0</v>
      </c>
      <c r="DA46" s="24">
        <f t="shared" si="48"/>
        <v>0</v>
      </c>
      <c r="DB46" s="24">
        <f t="shared" si="57"/>
        <v>0</v>
      </c>
      <c r="DC46" s="24">
        <f t="shared" si="57"/>
        <v>0</v>
      </c>
      <c r="DD46" s="24">
        <f t="shared" si="57"/>
        <v>0</v>
      </c>
      <c r="DE46" s="24"/>
      <c r="DF46" s="24">
        <f t="shared" si="58"/>
        <v>0</v>
      </c>
      <c r="DG46" s="24">
        <f t="shared" si="51"/>
        <v>0</v>
      </c>
      <c r="DH46" s="24">
        <f t="shared" si="59"/>
        <v>0</v>
      </c>
    </row>
    <row r="47" spans="1:114" ht="30" x14ac:dyDescent="0.25">
      <c r="A47" s="238"/>
      <c r="B47" s="232"/>
      <c r="C47" s="20" t="s">
        <v>153</v>
      </c>
      <c r="D47" s="21" t="s">
        <v>154</v>
      </c>
      <c r="E47" s="22">
        <v>410</v>
      </c>
      <c r="F47" s="23" t="s">
        <v>91</v>
      </c>
      <c r="G47" s="24">
        <f t="shared" si="31"/>
        <v>10000000</v>
      </c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>
        <v>10000000</v>
      </c>
      <c r="V47" s="24"/>
      <c r="W47" s="24"/>
      <c r="X47" s="24"/>
      <c r="Y47" s="54"/>
      <c r="Z47" s="54"/>
      <c r="AA47" s="25">
        <f t="shared" si="1"/>
        <v>0.9996834</v>
      </c>
      <c r="AB47" s="24">
        <f t="shared" si="32"/>
        <v>9996834</v>
      </c>
      <c r="AC47" s="24"/>
      <c r="AD47" s="24"/>
      <c r="AE47" s="24"/>
      <c r="AF47" s="24"/>
      <c r="AG47" s="24"/>
      <c r="AH47" s="24"/>
      <c r="AI47" s="24"/>
      <c r="AJ47" s="24"/>
      <c r="AK47" s="24"/>
      <c r="AL47" s="24"/>
      <c r="AM47" s="24"/>
      <c r="AN47" s="24"/>
      <c r="AO47" s="24"/>
      <c r="AP47" s="24"/>
      <c r="AQ47" s="24">
        <f>+'[1]SEPTIEMBRE 2016'!$Y$2326</f>
        <v>9996834</v>
      </c>
      <c r="AR47" s="24"/>
      <c r="AS47" s="24"/>
      <c r="AT47" s="24"/>
      <c r="AU47" s="24"/>
      <c r="AV47" s="24"/>
      <c r="AW47" s="25">
        <f t="shared" si="3"/>
        <v>3.1660000000000021E-4</v>
      </c>
      <c r="AX47" s="24">
        <f t="shared" si="33"/>
        <v>3166</v>
      </c>
      <c r="AY47" s="24">
        <f t="shared" si="43"/>
        <v>0</v>
      </c>
      <c r="AZ47" s="24">
        <f t="shared" si="43"/>
        <v>0</v>
      </c>
      <c r="BA47" s="24">
        <f t="shared" si="43"/>
        <v>0</v>
      </c>
      <c r="BB47" s="24">
        <f t="shared" si="53"/>
        <v>0</v>
      </c>
      <c r="BC47" s="24">
        <f t="shared" si="53"/>
        <v>0</v>
      </c>
      <c r="BD47" s="24">
        <f t="shared" si="53"/>
        <v>0</v>
      </c>
      <c r="BE47" s="24">
        <f t="shared" si="53"/>
        <v>0</v>
      </c>
      <c r="BF47" s="24">
        <f t="shared" si="53"/>
        <v>0</v>
      </c>
      <c r="BG47" s="24">
        <f t="shared" si="60"/>
        <v>0</v>
      </c>
      <c r="BH47" s="24">
        <f t="shared" si="53"/>
        <v>0</v>
      </c>
      <c r="BI47" s="24">
        <f t="shared" si="53"/>
        <v>0</v>
      </c>
      <c r="BJ47" s="24">
        <f t="shared" si="53"/>
        <v>0</v>
      </c>
      <c r="BK47" s="24">
        <f>+T47-AP47</f>
        <v>0</v>
      </c>
      <c r="BL47" s="24">
        <f t="shared" si="53"/>
        <v>3166</v>
      </c>
      <c r="BM47" s="24">
        <f t="shared" si="53"/>
        <v>0</v>
      </c>
      <c r="BN47" s="24"/>
      <c r="BO47" s="24"/>
      <c r="BP47" s="24">
        <f t="shared" si="54"/>
        <v>0</v>
      </c>
      <c r="BQ47" s="24">
        <f t="shared" si="55"/>
        <v>0</v>
      </c>
      <c r="BR47" s="25">
        <f t="shared" si="10"/>
        <v>0.92333399999999999</v>
      </c>
      <c r="BS47" s="24">
        <f t="shared" si="36"/>
        <v>9233340</v>
      </c>
      <c r="BT47" s="24"/>
      <c r="BU47" s="24"/>
      <c r="BV47" s="24"/>
      <c r="BW47" s="24"/>
      <c r="BX47" s="24"/>
      <c r="BY47" s="24"/>
      <c r="BZ47" s="24"/>
      <c r="CA47" s="24"/>
      <c r="CB47" s="24"/>
      <c r="CC47" s="24"/>
      <c r="CD47" s="24"/>
      <c r="CE47" s="24"/>
      <c r="CF47" s="24"/>
      <c r="CG47" s="24"/>
      <c r="CH47" s="24">
        <f>+'[7]MAYO 2016'!$H$1115</f>
        <v>9233340</v>
      </c>
      <c r="CI47" s="24"/>
      <c r="CJ47" s="24"/>
      <c r="CK47" s="24"/>
      <c r="CL47" s="24"/>
      <c r="CM47" s="24"/>
      <c r="CN47" s="25">
        <f t="shared" si="12"/>
        <v>7.6666000000000012E-2</v>
      </c>
      <c r="CO47" s="24">
        <f t="shared" si="37"/>
        <v>766660</v>
      </c>
      <c r="CP47" s="24">
        <f t="shared" si="46"/>
        <v>0</v>
      </c>
      <c r="CQ47" s="24">
        <f t="shared" si="46"/>
        <v>0</v>
      </c>
      <c r="CR47" s="24">
        <f t="shared" si="46"/>
        <v>0</v>
      </c>
      <c r="CS47" s="24">
        <f t="shared" si="46"/>
        <v>0</v>
      </c>
      <c r="CT47" s="24">
        <f t="shared" si="46"/>
        <v>0</v>
      </c>
      <c r="CU47" s="24">
        <f t="shared" si="46"/>
        <v>0</v>
      </c>
      <c r="CV47" s="24">
        <f t="shared" si="56"/>
        <v>0</v>
      </c>
      <c r="CW47" s="24">
        <f t="shared" si="56"/>
        <v>0</v>
      </c>
      <c r="CX47" s="24">
        <f t="shared" si="56"/>
        <v>0</v>
      </c>
      <c r="CY47" s="24">
        <f t="shared" si="48"/>
        <v>0</v>
      </c>
      <c r="CZ47" s="24">
        <f t="shared" si="48"/>
        <v>0</v>
      </c>
      <c r="DA47" s="24">
        <f t="shared" si="48"/>
        <v>0</v>
      </c>
      <c r="DB47" s="24">
        <f t="shared" si="57"/>
        <v>0</v>
      </c>
      <c r="DC47" s="24">
        <f t="shared" si="57"/>
        <v>766660</v>
      </c>
      <c r="DD47" s="24">
        <f t="shared" si="57"/>
        <v>0</v>
      </c>
      <c r="DE47" s="24"/>
      <c r="DF47" s="24">
        <f t="shared" si="58"/>
        <v>0</v>
      </c>
      <c r="DG47" s="24">
        <f t="shared" si="51"/>
        <v>0</v>
      </c>
      <c r="DH47" s="24">
        <f t="shared" si="59"/>
        <v>0</v>
      </c>
    </row>
    <row r="48" spans="1:114" x14ac:dyDescent="0.25">
      <c r="A48" s="238"/>
      <c r="B48" s="232"/>
      <c r="C48" s="20" t="s">
        <v>155</v>
      </c>
      <c r="D48" s="21" t="s">
        <v>156</v>
      </c>
      <c r="E48" s="22">
        <v>410</v>
      </c>
      <c r="F48" s="23" t="s">
        <v>91</v>
      </c>
      <c r="G48" s="24">
        <f t="shared" si="31"/>
        <v>20000000</v>
      </c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>
        <v>20000000</v>
      </c>
      <c r="V48" s="24"/>
      <c r="W48" s="24"/>
      <c r="X48" s="24"/>
      <c r="Y48" s="54"/>
      <c r="Z48" s="54"/>
      <c r="AA48" s="25">
        <f t="shared" si="1"/>
        <v>0.99988060000000001</v>
      </c>
      <c r="AB48" s="24">
        <f t="shared" si="32"/>
        <v>19997612</v>
      </c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>
        <f>+'[4]AGOSTO 2016'!$Y$1965</f>
        <v>19997612</v>
      </c>
      <c r="AR48" s="24"/>
      <c r="AS48" s="24"/>
      <c r="AT48" s="24"/>
      <c r="AU48" s="24"/>
      <c r="AV48" s="24"/>
      <c r="AW48" s="25">
        <f t="shared" si="3"/>
        <v>1.1939999999999173E-4</v>
      </c>
      <c r="AX48" s="24">
        <f t="shared" si="33"/>
        <v>2388</v>
      </c>
      <c r="AY48" s="24">
        <f t="shared" si="43"/>
        <v>0</v>
      </c>
      <c r="AZ48" s="24">
        <f t="shared" si="43"/>
        <v>0</v>
      </c>
      <c r="BA48" s="24">
        <f t="shared" si="43"/>
        <v>0</v>
      </c>
      <c r="BB48" s="24">
        <f t="shared" si="53"/>
        <v>0</v>
      </c>
      <c r="BC48" s="24">
        <f t="shared" si="53"/>
        <v>0</v>
      </c>
      <c r="BD48" s="24">
        <f t="shared" si="53"/>
        <v>0</v>
      </c>
      <c r="BE48" s="24">
        <f t="shared" si="53"/>
        <v>0</v>
      </c>
      <c r="BF48" s="24">
        <f t="shared" si="53"/>
        <v>0</v>
      </c>
      <c r="BG48" s="24">
        <f t="shared" si="60"/>
        <v>0</v>
      </c>
      <c r="BH48" s="24">
        <f t="shared" si="53"/>
        <v>0</v>
      </c>
      <c r="BI48" s="24">
        <f t="shared" si="53"/>
        <v>0</v>
      </c>
      <c r="BJ48" s="24">
        <f t="shared" si="53"/>
        <v>0</v>
      </c>
      <c r="BK48" s="24"/>
      <c r="BL48" s="24">
        <f t="shared" si="53"/>
        <v>2388</v>
      </c>
      <c r="BM48" s="24">
        <f t="shared" si="53"/>
        <v>0</v>
      </c>
      <c r="BN48" s="24"/>
      <c r="BO48" s="24"/>
      <c r="BP48" s="24">
        <f t="shared" si="54"/>
        <v>0</v>
      </c>
      <c r="BQ48" s="24">
        <f t="shared" si="55"/>
        <v>0</v>
      </c>
      <c r="BR48" s="25">
        <f t="shared" si="10"/>
        <v>0.99988060000000001</v>
      </c>
      <c r="BS48" s="24">
        <f t="shared" si="36"/>
        <v>19997612</v>
      </c>
      <c r="BT48" s="24"/>
      <c r="BU48" s="24"/>
      <c r="BV48" s="24"/>
      <c r="BW48" s="24"/>
      <c r="BX48" s="24"/>
      <c r="BY48" s="24"/>
      <c r="BZ48" s="24"/>
      <c r="CA48" s="24"/>
      <c r="CB48" s="24"/>
      <c r="CC48" s="24"/>
      <c r="CD48" s="24"/>
      <c r="CE48" s="24"/>
      <c r="CF48" s="24"/>
      <c r="CG48" s="24"/>
      <c r="CH48" s="24">
        <f>+'[1]SEPTIEMBRE 2016'!$Y$2332</f>
        <v>19997612</v>
      </c>
      <c r="CI48" s="24"/>
      <c r="CJ48" s="24"/>
      <c r="CK48" s="24"/>
      <c r="CL48" s="24"/>
      <c r="CM48" s="24"/>
      <c r="CN48" s="25">
        <f t="shared" si="12"/>
        <v>1.1939999999999173E-4</v>
      </c>
      <c r="CO48" s="24">
        <f t="shared" si="37"/>
        <v>2388</v>
      </c>
      <c r="CP48" s="24">
        <f t="shared" si="46"/>
        <v>0</v>
      </c>
      <c r="CQ48" s="24">
        <f t="shared" si="46"/>
        <v>0</v>
      </c>
      <c r="CR48" s="24">
        <f t="shared" si="46"/>
        <v>0</v>
      </c>
      <c r="CS48" s="24">
        <f t="shared" si="46"/>
        <v>0</v>
      </c>
      <c r="CT48" s="24">
        <f t="shared" si="46"/>
        <v>0</v>
      </c>
      <c r="CU48" s="24">
        <f t="shared" si="46"/>
        <v>0</v>
      </c>
      <c r="CV48" s="24">
        <f t="shared" si="56"/>
        <v>0</v>
      </c>
      <c r="CW48" s="24">
        <f t="shared" si="56"/>
        <v>0</v>
      </c>
      <c r="CX48" s="24">
        <f t="shared" si="56"/>
        <v>0</v>
      </c>
      <c r="CY48" s="24">
        <f t="shared" si="56"/>
        <v>0</v>
      </c>
      <c r="CZ48" s="24">
        <f t="shared" si="56"/>
        <v>0</v>
      </c>
      <c r="DA48" s="24">
        <f t="shared" si="56"/>
        <v>0</v>
      </c>
      <c r="DB48" s="24">
        <f t="shared" si="57"/>
        <v>0</v>
      </c>
      <c r="DC48" s="24">
        <f t="shared" si="57"/>
        <v>2388</v>
      </c>
      <c r="DD48" s="24">
        <f t="shared" si="57"/>
        <v>0</v>
      </c>
      <c r="DE48" s="24"/>
      <c r="DF48" s="24">
        <f t="shared" si="58"/>
        <v>0</v>
      </c>
      <c r="DG48" s="24">
        <f t="shared" ref="DG48:DG59" si="61">Y48-CL48</f>
        <v>0</v>
      </c>
      <c r="DH48" s="24">
        <f t="shared" si="59"/>
        <v>0</v>
      </c>
    </row>
    <row r="49" spans="1:113" ht="30" x14ac:dyDescent="0.25">
      <c r="A49" s="238"/>
      <c r="B49" s="233"/>
      <c r="C49" s="20" t="s">
        <v>157</v>
      </c>
      <c r="D49" s="21" t="s">
        <v>158</v>
      </c>
      <c r="E49" s="22">
        <v>410</v>
      </c>
      <c r="F49" s="23" t="s">
        <v>91</v>
      </c>
      <c r="G49" s="24">
        <f t="shared" si="31"/>
        <v>13200000</v>
      </c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>
        <v>10000000</v>
      </c>
      <c r="V49" s="24"/>
      <c r="W49" s="24"/>
      <c r="X49" s="24"/>
      <c r="Y49" s="54"/>
      <c r="Z49" s="54">
        <f>3200000</f>
        <v>3200000</v>
      </c>
      <c r="AA49" s="25">
        <f t="shared" si="1"/>
        <v>0.75757575757575757</v>
      </c>
      <c r="AB49" s="24">
        <f t="shared" si="32"/>
        <v>10000000</v>
      </c>
      <c r="AC49" s="24"/>
      <c r="AD49" s="24"/>
      <c r="AE49" s="24"/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  <c r="AQ49" s="24">
        <f>+'[1]SEPTIEMBRE 2016'!$Y$2338</f>
        <v>10000000</v>
      </c>
      <c r="AR49" s="24"/>
      <c r="AS49" s="24"/>
      <c r="AT49" s="24"/>
      <c r="AU49" s="24"/>
      <c r="AV49" s="24"/>
      <c r="AW49" s="25">
        <f t="shared" si="3"/>
        <v>0.24242424242424243</v>
      </c>
      <c r="AX49" s="24">
        <f t="shared" si="33"/>
        <v>3200000</v>
      </c>
      <c r="AY49" s="24">
        <f t="shared" si="43"/>
        <v>0</v>
      </c>
      <c r="AZ49" s="24">
        <f t="shared" si="43"/>
        <v>0</v>
      </c>
      <c r="BA49" s="24">
        <f t="shared" si="43"/>
        <v>0</v>
      </c>
      <c r="BB49" s="24">
        <f t="shared" si="53"/>
        <v>0</v>
      </c>
      <c r="BC49" s="24">
        <f t="shared" si="53"/>
        <v>0</v>
      </c>
      <c r="BD49" s="24">
        <f t="shared" si="53"/>
        <v>0</v>
      </c>
      <c r="BE49" s="24">
        <f t="shared" si="53"/>
        <v>0</v>
      </c>
      <c r="BF49" s="24">
        <f t="shared" si="53"/>
        <v>0</v>
      </c>
      <c r="BG49" s="24">
        <f t="shared" si="60"/>
        <v>0</v>
      </c>
      <c r="BH49" s="24">
        <f t="shared" si="53"/>
        <v>0</v>
      </c>
      <c r="BI49" s="24">
        <f t="shared" si="53"/>
        <v>0</v>
      </c>
      <c r="BJ49" s="24">
        <f t="shared" si="53"/>
        <v>0</v>
      </c>
      <c r="BK49" s="24"/>
      <c r="BL49" s="24">
        <f t="shared" si="53"/>
        <v>0</v>
      </c>
      <c r="BM49" s="24">
        <f t="shared" si="53"/>
        <v>0</v>
      </c>
      <c r="BN49" s="24"/>
      <c r="BO49" s="24"/>
      <c r="BP49" s="24">
        <f t="shared" si="54"/>
        <v>0</v>
      </c>
      <c r="BQ49" s="24">
        <f t="shared" si="55"/>
        <v>3200000</v>
      </c>
      <c r="BR49" s="25">
        <f t="shared" si="10"/>
        <v>0.24087121212121212</v>
      </c>
      <c r="BS49" s="24">
        <f t="shared" si="36"/>
        <v>3179500</v>
      </c>
      <c r="BT49" s="24"/>
      <c r="BU49" s="24"/>
      <c r="BV49" s="24"/>
      <c r="BW49" s="24"/>
      <c r="BX49" s="24"/>
      <c r="BY49" s="24"/>
      <c r="BZ49" s="24"/>
      <c r="CA49" s="24"/>
      <c r="CB49" s="24"/>
      <c r="CC49" s="24"/>
      <c r="CD49" s="24"/>
      <c r="CE49" s="24"/>
      <c r="CF49" s="24"/>
      <c r="CG49" s="24"/>
      <c r="CH49" s="24">
        <f>+'[8]ABRIL 2016'!$H$959</f>
        <v>3179500</v>
      </c>
      <c r="CI49" s="24"/>
      <c r="CJ49" s="24"/>
      <c r="CK49" s="24"/>
      <c r="CL49" s="24"/>
      <c r="CM49" s="24"/>
      <c r="CN49" s="25">
        <f t="shared" si="12"/>
        <v>0.7591287878787879</v>
      </c>
      <c r="CO49" s="24">
        <f t="shared" si="37"/>
        <v>10020500</v>
      </c>
      <c r="CP49" s="24">
        <f t="shared" si="46"/>
        <v>0</v>
      </c>
      <c r="CQ49" s="24">
        <f t="shared" si="46"/>
        <v>0</v>
      </c>
      <c r="CR49" s="24">
        <f t="shared" si="46"/>
        <v>0</v>
      </c>
      <c r="CS49" s="24">
        <f t="shared" si="46"/>
        <v>0</v>
      </c>
      <c r="CT49" s="24">
        <f t="shared" si="46"/>
        <v>0</v>
      </c>
      <c r="CU49" s="24">
        <f t="shared" si="46"/>
        <v>0</v>
      </c>
      <c r="CV49" s="24">
        <f t="shared" si="56"/>
        <v>0</v>
      </c>
      <c r="CW49" s="24">
        <f t="shared" si="56"/>
        <v>0</v>
      </c>
      <c r="CX49" s="24">
        <f t="shared" si="56"/>
        <v>0</v>
      </c>
      <c r="CY49" s="24">
        <f t="shared" si="56"/>
        <v>0</v>
      </c>
      <c r="CZ49" s="24">
        <f t="shared" si="56"/>
        <v>0</v>
      </c>
      <c r="DA49" s="24">
        <f t="shared" si="56"/>
        <v>0</v>
      </c>
      <c r="DB49" s="24">
        <f t="shared" si="57"/>
        <v>0</v>
      </c>
      <c r="DC49" s="24">
        <f t="shared" si="57"/>
        <v>6820500</v>
      </c>
      <c r="DD49" s="24">
        <f t="shared" si="57"/>
        <v>0</v>
      </c>
      <c r="DE49" s="24"/>
      <c r="DF49" s="24">
        <f t="shared" si="58"/>
        <v>0</v>
      </c>
      <c r="DG49" s="24">
        <f t="shared" si="61"/>
        <v>0</v>
      </c>
      <c r="DH49" s="24">
        <f t="shared" si="59"/>
        <v>3200000</v>
      </c>
    </row>
    <row r="50" spans="1:113" ht="30.75" customHeight="1" x14ac:dyDescent="0.25">
      <c r="A50" s="238" t="s">
        <v>87</v>
      </c>
      <c r="B50" s="231" t="s">
        <v>159</v>
      </c>
      <c r="C50" s="20" t="s">
        <v>160</v>
      </c>
      <c r="D50" s="21" t="s">
        <v>161</v>
      </c>
      <c r="E50" s="22">
        <v>410</v>
      </c>
      <c r="F50" s="23" t="s">
        <v>91</v>
      </c>
      <c r="G50" s="24">
        <f t="shared" si="31"/>
        <v>374741836</v>
      </c>
      <c r="H50" s="24"/>
      <c r="I50" s="24">
        <v>270000000</v>
      </c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54">
        <v>104741836</v>
      </c>
      <c r="Z50" s="54"/>
      <c r="AA50" s="25">
        <f t="shared" si="1"/>
        <v>1</v>
      </c>
      <c r="AB50" s="24">
        <f t="shared" si="32"/>
        <v>374741836</v>
      </c>
      <c r="AC50" s="24"/>
      <c r="AD50" s="24"/>
      <c r="AE50" s="24">
        <f>+'[2]ENERO 2016'!$M$432</f>
        <v>270000000</v>
      </c>
      <c r="AF50" s="24"/>
      <c r="AG50" s="24"/>
      <c r="AH50" s="24"/>
      <c r="AI50" s="24"/>
      <c r="AJ50" s="24"/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>
        <f>+'[4]AGOSTO 2016'!$AF$1980</f>
        <v>104741836</v>
      </c>
      <c r="AV50" s="24"/>
      <c r="AW50" s="25">
        <f t="shared" si="3"/>
        <v>0</v>
      </c>
      <c r="AX50" s="24">
        <f t="shared" si="33"/>
        <v>0</v>
      </c>
      <c r="AY50" s="24">
        <f t="shared" si="43"/>
        <v>0</v>
      </c>
      <c r="AZ50" s="24">
        <f t="shared" si="43"/>
        <v>0</v>
      </c>
      <c r="BA50" s="24">
        <f t="shared" si="43"/>
        <v>0</v>
      </c>
      <c r="BB50" s="24">
        <f t="shared" si="53"/>
        <v>0</v>
      </c>
      <c r="BC50" s="24">
        <f t="shared" si="53"/>
        <v>0</v>
      </c>
      <c r="BD50" s="24">
        <f t="shared" si="53"/>
        <v>0</v>
      </c>
      <c r="BE50" s="24">
        <f t="shared" si="53"/>
        <v>0</v>
      </c>
      <c r="BF50" s="24">
        <f t="shared" si="53"/>
        <v>0</v>
      </c>
      <c r="BG50" s="24">
        <f t="shared" si="60"/>
        <v>0</v>
      </c>
      <c r="BH50" s="24">
        <f t="shared" si="53"/>
        <v>0</v>
      </c>
      <c r="BI50" s="24">
        <f t="shared" si="53"/>
        <v>0</v>
      </c>
      <c r="BJ50" s="24">
        <f t="shared" si="53"/>
        <v>0</v>
      </c>
      <c r="BK50" s="24">
        <f>+T50-AP50</f>
        <v>0</v>
      </c>
      <c r="BL50" s="24">
        <f t="shared" si="53"/>
        <v>0</v>
      </c>
      <c r="BM50" s="24">
        <f t="shared" si="53"/>
        <v>0</v>
      </c>
      <c r="BN50" s="24"/>
      <c r="BO50" s="24"/>
      <c r="BP50" s="24">
        <f t="shared" si="54"/>
        <v>0</v>
      </c>
      <c r="BQ50" s="24">
        <f t="shared" si="55"/>
        <v>0</v>
      </c>
      <c r="BR50" s="25">
        <f t="shared" si="10"/>
        <v>0.75724210840446438</v>
      </c>
      <c r="BS50" s="24">
        <f t="shared" si="36"/>
        <v>283770298</v>
      </c>
      <c r="BT50" s="24"/>
      <c r="BU50" s="24"/>
      <c r="BV50" s="24">
        <f>+'[2]ENERO 2016'!$H$430</f>
        <v>270000000</v>
      </c>
      <c r="BW50" s="24"/>
      <c r="BX50" s="24"/>
      <c r="BY50" s="24"/>
      <c r="BZ50" s="24"/>
      <c r="CA50" s="24"/>
      <c r="CB50" s="24"/>
      <c r="CC50" s="24"/>
      <c r="CD50" s="24"/>
      <c r="CE50" s="24"/>
      <c r="CF50" s="24"/>
      <c r="CG50" s="24"/>
      <c r="CH50" s="24"/>
      <c r="CI50" s="24"/>
      <c r="CJ50" s="24"/>
      <c r="CK50" s="24"/>
      <c r="CL50" s="24">
        <f>+'[8]ABRIL 2016'!$H$975+'[7]MAYO 2016'!$AF$1142</f>
        <v>13770298</v>
      </c>
      <c r="CM50" s="24"/>
      <c r="CN50" s="25">
        <f t="shared" si="12"/>
        <v>0.24275789159553562</v>
      </c>
      <c r="CO50" s="24">
        <f t="shared" si="37"/>
        <v>90971538</v>
      </c>
      <c r="CP50" s="24">
        <f t="shared" si="46"/>
        <v>0</v>
      </c>
      <c r="CQ50" s="24">
        <f t="shared" si="46"/>
        <v>0</v>
      </c>
      <c r="CR50" s="24">
        <f t="shared" si="46"/>
        <v>0</v>
      </c>
      <c r="CS50" s="24">
        <f t="shared" si="46"/>
        <v>0</v>
      </c>
      <c r="CT50" s="24">
        <f t="shared" si="46"/>
        <v>0</v>
      </c>
      <c r="CU50" s="24">
        <f t="shared" si="46"/>
        <v>0</v>
      </c>
      <c r="CV50" s="24">
        <f t="shared" si="56"/>
        <v>0</v>
      </c>
      <c r="CW50" s="24">
        <f t="shared" si="56"/>
        <v>0</v>
      </c>
      <c r="CX50" s="24">
        <f t="shared" si="56"/>
        <v>0</v>
      </c>
      <c r="CY50" s="24">
        <f t="shared" ref="CY50:DA59" si="62">Q50-CD50</f>
        <v>0</v>
      </c>
      <c r="CZ50" s="24">
        <f t="shared" si="62"/>
        <v>0</v>
      </c>
      <c r="DA50" s="24">
        <f t="shared" si="62"/>
        <v>0</v>
      </c>
      <c r="DB50" s="24">
        <f t="shared" si="57"/>
        <v>0</v>
      </c>
      <c r="DC50" s="24">
        <f t="shared" si="57"/>
        <v>0</v>
      </c>
      <c r="DD50" s="24">
        <f t="shared" si="57"/>
        <v>0</v>
      </c>
      <c r="DE50" s="24"/>
      <c r="DF50" s="24">
        <f t="shared" si="58"/>
        <v>0</v>
      </c>
      <c r="DG50" s="24">
        <f t="shared" si="61"/>
        <v>90971538</v>
      </c>
      <c r="DH50" s="24">
        <f t="shared" si="59"/>
        <v>0</v>
      </c>
    </row>
    <row r="51" spans="1:113" s="58" customFormat="1" ht="35.25" customHeight="1" x14ac:dyDescent="0.25">
      <c r="A51" s="238"/>
      <c r="B51" s="233"/>
      <c r="C51" s="55" t="s">
        <v>162</v>
      </c>
      <c r="D51" s="21" t="s">
        <v>163</v>
      </c>
      <c r="E51" s="22">
        <v>410</v>
      </c>
      <c r="F51" s="23" t="s">
        <v>91</v>
      </c>
      <c r="G51" s="24">
        <f t="shared" si="31"/>
        <v>30000000</v>
      </c>
      <c r="H51" s="56"/>
      <c r="I51" s="54">
        <v>30000000</v>
      </c>
      <c r="J51" s="54"/>
      <c r="K51" s="56"/>
      <c r="L51" s="54"/>
      <c r="M51" s="54"/>
      <c r="N51" s="54"/>
      <c r="O51" s="54"/>
      <c r="P51" s="54"/>
      <c r="Q51" s="54"/>
      <c r="R51" s="54"/>
      <c r="S51" s="54"/>
      <c r="T51" s="54"/>
      <c r="U51" s="54"/>
      <c r="V51" s="54"/>
      <c r="W51" s="54"/>
      <c r="X51" s="54"/>
      <c r="Y51" s="54"/>
      <c r="Z51" s="54"/>
      <c r="AA51" s="57">
        <f t="shared" si="1"/>
        <v>1</v>
      </c>
      <c r="AB51" s="24">
        <f t="shared" si="32"/>
        <v>30000000</v>
      </c>
      <c r="AC51" s="54"/>
      <c r="AD51" s="54"/>
      <c r="AE51" s="54">
        <f>+'[5]JULIO 2016'!$M$1444</f>
        <v>30000000</v>
      </c>
      <c r="AF51" s="54"/>
      <c r="AG51" s="54"/>
      <c r="AH51" s="54"/>
      <c r="AI51" s="54"/>
      <c r="AJ51" s="54"/>
      <c r="AK51" s="54"/>
      <c r="AL51" s="54"/>
      <c r="AM51" s="54"/>
      <c r="AN51" s="54"/>
      <c r="AO51" s="54"/>
      <c r="AP51" s="54"/>
      <c r="AQ51" s="54"/>
      <c r="AR51" s="54"/>
      <c r="AS51" s="54"/>
      <c r="AT51" s="54"/>
      <c r="AU51" s="54"/>
      <c r="AV51" s="54"/>
      <c r="AW51" s="57">
        <f t="shared" si="3"/>
        <v>0</v>
      </c>
      <c r="AX51" s="24">
        <f t="shared" si="33"/>
        <v>0</v>
      </c>
      <c r="AY51" s="24">
        <f t="shared" si="43"/>
        <v>0</v>
      </c>
      <c r="AZ51" s="24">
        <f t="shared" si="43"/>
        <v>0</v>
      </c>
      <c r="BA51" s="24">
        <f t="shared" si="43"/>
        <v>0</v>
      </c>
      <c r="BB51" s="24">
        <f t="shared" si="53"/>
        <v>0</v>
      </c>
      <c r="BC51" s="24">
        <f t="shared" si="53"/>
        <v>0</v>
      </c>
      <c r="BD51" s="24">
        <f t="shared" si="53"/>
        <v>0</v>
      </c>
      <c r="BE51" s="24">
        <f t="shared" si="53"/>
        <v>0</v>
      </c>
      <c r="BF51" s="24">
        <f t="shared" si="53"/>
        <v>0</v>
      </c>
      <c r="BG51" s="24">
        <f t="shared" si="60"/>
        <v>0</v>
      </c>
      <c r="BH51" s="24">
        <f t="shared" si="53"/>
        <v>0</v>
      </c>
      <c r="BI51" s="24">
        <f t="shared" si="53"/>
        <v>0</v>
      </c>
      <c r="BJ51" s="24">
        <f t="shared" si="53"/>
        <v>0</v>
      </c>
      <c r="BK51" s="54"/>
      <c r="BL51" s="24">
        <f t="shared" si="53"/>
        <v>0</v>
      </c>
      <c r="BM51" s="24">
        <f t="shared" si="53"/>
        <v>0</v>
      </c>
      <c r="BN51" s="24"/>
      <c r="BO51" s="54"/>
      <c r="BP51" s="24">
        <f t="shared" si="54"/>
        <v>0</v>
      </c>
      <c r="BQ51" s="54">
        <f t="shared" si="55"/>
        <v>0</v>
      </c>
      <c r="BR51" s="57">
        <f t="shared" si="10"/>
        <v>1</v>
      </c>
      <c r="BS51" s="24">
        <f t="shared" si="36"/>
        <v>30000000</v>
      </c>
      <c r="BT51" s="54"/>
      <c r="BU51" s="54"/>
      <c r="BV51" s="54">
        <f>+'[4]AGOSTO 2016'!$H$1989</f>
        <v>30000000</v>
      </c>
      <c r="BW51" s="54"/>
      <c r="BX51" s="54"/>
      <c r="BY51" s="54"/>
      <c r="BZ51" s="54"/>
      <c r="CA51" s="54"/>
      <c r="CB51" s="54"/>
      <c r="CC51" s="54"/>
      <c r="CD51" s="54"/>
      <c r="CE51" s="54"/>
      <c r="CF51" s="54"/>
      <c r="CG51" s="54"/>
      <c r="CH51" s="54"/>
      <c r="CI51" s="54"/>
      <c r="CJ51" s="54"/>
      <c r="CK51" s="54"/>
      <c r="CL51" s="54"/>
      <c r="CM51" s="54"/>
      <c r="CN51" s="57">
        <f t="shared" si="12"/>
        <v>0</v>
      </c>
      <c r="CO51" s="24">
        <f t="shared" si="37"/>
        <v>0</v>
      </c>
      <c r="CP51" s="24">
        <f t="shared" si="46"/>
        <v>0</v>
      </c>
      <c r="CQ51" s="24">
        <f t="shared" si="46"/>
        <v>0</v>
      </c>
      <c r="CR51" s="24">
        <f t="shared" si="46"/>
        <v>0</v>
      </c>
      <c r="CS51" s="24">
        <f t="shared" si="46"/>
        <v>0</v>
      </c>
      <c r="CT51" s="24">
        <f t="shared" si="46"/>
        <v>0</v>
      </c>
      <c r="CU51" s="24">
        <f t="shared" si="46"/>
        <v>0</v>
      </c>
      <c r="CV51" s="24">
        <f>N51-CA51</f>
        <v>0</v>
      </c>
      <c r="CW51" s="24">
        <f>O51-CB51</f>
        <v>0</v>
      </c>
      <c r="CX51" s="24">
        <f>P51-CC51</f>
        <v>0</v>
      </c>
      <c r="CY51" s="24">
        <f t="shared" si="62"/>
        <v>0</v>
      </c>
      <c r="CZ51" s="24">
        <f t="shared" si="62"/>
        <v>0</v>
      </c>
      <c r="DA51" s="24">
        <f t="shared" si="62"/>
        <v>0</v>
      </c>
      <c r="DB51" s="24">
        <f>T51-CG51</f>
        <v>0</v>
      </c>
      <c r="DC51" s="24">
        <f>U51-CH51</f>
        <v>0</v>
      </c>
      <c r="DD51" s="24">
        <f>V51-CI51</f>
        <v>0</v>
      </c>
      <c r="DE51" s="24"/>
      <c r="DF51" s="24">
        <f>X51-CK51</f>
        <v>0</v>
      </c>
      <c r="DG51" s="24">
        <f t="shared" si="61"/>
        <v>0</v>
      </c>
      <c r="DH51" s="24">
        <f>Z51-CM51</f>
        <v>0</v>
      </c>
    </row>
    <row r="52" spans="1:113" ht="46.5" customHeight="1" x14ac:dyDescent="0.25">
      <c r="A52" s="238"/>
      <c r="B52" s="231" t="s">
        <v>164</v>
      </c>
      <c r="C52" s="20" t="s">
        <v>165</v>
      </c>
      <c r="D52" s="21" t="s">
        <v>166</v>
      </c>
      <c r="E52" s="22">
        <v>410</v>
      </c>
      <c r="F52" s="23" t="s">
        <v>91</v>
      </c>
      <c r="G52" s="24">
        <f t="shared" si="31"/>
        <v>90000000</v>
      </c>
      <c r="H52" s="45"/>
      <c r="I52" s="24">
        <f>21264791</f>
        <v>21264791</v>
      </c>
      <c r="J52" s="24"/>
      <c r="K52" s="45"/>
      <c r="L52" s="33"/>
      <c r="M52" s="33"/>
      <c r="N52" s="33"/>
      <c r="O52" s="24"/>
      <c r="P52" s="24"/>
      <c r="Q52" s="24"/>
      <c r="R52" s="24"/>
      <c r="S52" s="24"/>
      <c r="T52" s="24"/>
      <c r="U52" s="24">
        <f>90000000-21264791</f>
        <v>68735209</v>
      </c>
      <c r="V52" s="24"/>
      <c r="W52" s="24"/>
      <c r="X52" s="24"/>
      <c r="Y52" s="24"/>
      <c r="Z52" s="24"/>
      <c r="AA52" s="25">
        <f t="shared" si="1"/>
        <v>0.99282323333333333</v>
      </c>
      <c r="AB52" s="24">
        <f t="shared" si="32"/>
        <v>89354091</v>
      </c>
      <c r="AC52" s="24"/>
      <c r="AD52" s="24"/>
      <c r="AE52" s="24">
        <f>+'[4]AGOSTO 2016'!$M$2000</f>
        <v>21264791</v>
      </c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>
        <f>+'[1]SEPTIEMBRE 2016'!$Y$2370</f>
        <v>68089300</v>
      </c>
      <c r="AR52" s="24"/>
      <c r="AS52" s="24"/>
      <c r="AT52" s="24"/>
      <c r="AU52" s="24"/>
      <c r="AV52" s="24"/>
      <c r="AW52" s="25">
        <f t="shared" si="3"/>
        <v>7.1767666666666674E-3</v>
      </c>
      <c r="AX52" s="24">
        <f t="shared" si="33"/>
        <v>645909</v>
      </c>
      <c r="AY52" s="24">
        <f t="shared" si="43"/>
        <v>0</v>
      </c>
      <c r="AZ52" s="24">
        <f t="shared" si="43"/>
        <v>0</v>
      </c>
      <c r="BA52" s="24">
        <f t="shared" si="43"/>
        <v>0</v>
      </c>
      <c r="BB52" s="24">
        <f t="shared" si="53"/>
        <v>0</v>
      </c>
      <c r="BC52" s="24">
        <f t="shared" si="53"/>
        <v>0</v>
      </c>
      <c r="BD52" s="24">
        <f t="shared" si="53"/>
        <v>0</v>
      </c>
      <c r="BE52" s="24">
        <f t="shared" si="53"/>
        <v>0</v>
      </c>
      <c r="BF52" s="24">
        <f t="shared" si="53"/>
        <v>0</v>
      </c>
      <c r="BG52" s="24">
        <f t="shared" si="60"/>
        <v>0</v>
      </c>
      <c r="BH52" s="24">
        <f t="shared" si="53"/>
        <v>0</v>
      </c>
      <c r="BI52" s="24">
        <f t="shared" si="53"/>
        <v>0</v>
      </c>
      <c r="BJ52" s="24">
        <f t="shared" si="53"/>
        <v>0</v>
      </c>
      <c r="BK52" s="24">
        <f>+T52-AP52</f>
        <v>0</v>
      </c>
      <c r="BL52" s="24">
        <f t="shared" si="53"/>
        <v>645909</v>
      </c>
      <c r="BM52" s="24">
        <f t="shared" si="53"/>
        <v>0</v>
      </c>
      <c r="BN52" s="24"/>
      <c r="BO52" s="24"/>
      <c r="BP52" s="24">
        <f t="shared" si="54"/>
        <v>0</v>
      </c>
      <c r="BQ52" s="24">
        <f t="shared" si="55"/>
        <v>0</v>
      </c>
      <c r="BR52" s="25">
        <f t="shared" si="10"/>
        <v>0.83634731111111116</v>
      </c>
      <c r="BS52" s="24">
        <f t="shared" si="36"/>
        <v>75271258</v>
      </c>
      <c r="BT52" s="24"/>
      <c r="BU52" s="24"/>
      <c r="BV52" s="24">
        <f>+'[1]SEPTIEMBRE 2016'!$H$2382</f>
        <v>9219791</v>
      </c>
      <c r="BW52" s="24"/>
      <c r="BX52" s="24"/>
      <c r="BY52" s="24"/>
      <c r="BZ52" s="24"/>
      <c r="CA52" s="24"/>
      <c r="CB52" s="24"/>
      <c r="CC52" s="24"/>
      <c r="CD52" s="24"/>
      <c r="CE52" s="24"/>
      <c r="CF52" s="24"/>
      <c r="CG52" s="24"/>
      <c r="CH52" s="24">
        <f>+'[1]SEPTIEMBRE 2016'!$H$2368-BV52</f>
        <v>66051467</v>
      </c>
      <c r="CI52" s="24"/>
      <c r="CJ52" s="24"/>
      <c r="CK52" s="24"/>
      <c r="CL52" s="24"/>
      <c r="CM52" s="24"/>
      <c r="CN52" s="25">
        <f t="shared" si="12"/>
        <v>0.16365268888888884</v>
      </c>
      <c r="CO52" s="24">
        <f t="shared" si="37"/>
        <v>14728742</v>
      </c>
      <c r="CP52" s="24">
        <f t="shared" si="46"/>
        <v>0</v>
      </c>
      <c r="CQ52" s="24">
        <f t="shared" si="46"/>
        <v>12045000</v>
      </c>
      <c r="CR52" s="24">
        <f t="shared" si="46"/>
        <v>0</v>
      </c>
      <c r="CS52" s="24">
        <f t="shared" si="46"/>
        <v>0</v>
      </c>
      <c r="CT52" s="24">
        <f t="shared" si="46"/>
        <v>0</v>
      </c>
      <c r="CU52" s="24">
        <f t="shared" si="46"/>
        <v>0</v>
      </c>
      <c r="CV52" s="24">
        <f>+N52-CA52</f>
        <v>0</v>
      </c>
      <c r="CW52" s="24">
        <f>+O52-CB52</f>
        <v>0</v>
      </c>
      <c r="CX52" s="24">
        <f>+P52-CC52</f>
        <v>0</v>
      </c>
      <c r="CY52" s="24">
        <f t="shared" si="62"/>
        <v>0</v>
      </c>
      <c r="CZ52" s="24">
        <f t="shared" si="62"/>
        <v>0</v>
      </c>
      <c r="DA52" s="24">
        <f t="shared" si="62"/>
        <v>0</v>
      </c>
      <c r="DB52" s="24">
        <f>+T52-CG52</f>
        <v>0</v>
      </c>
      <c r="DC52" s="24">
        <f>+U52-CH52</f>
        <v>2683742</v>
      </c>
      <c r="DD52" s="24">
        <f>+V52-CI52</f>
        <v>0</v>
      </c>
      <c r="DE52" s="24"/>
      <c r="DF52" s="24">
        <f>+X52-CK52</f>
        <v>0</v>
      </c>
      <c r="DG52" s="24">
        <f t="shared" si="61"/>
        <v>0</v>
      </c>
      <c r="DH52" s="24">
        <f>+Z52-CM52</f>
        <v>0</v>
      </c>
      <c r="DI52" s="43"/>
    </row>
    <row r="53" spans="1:113" ht="21.75" customHeight="1" x14ac:dyDescent="0.25">
      <c r="A53" s="238"/>
      <c r="B53" s="233"/>
      <c r="C53" s="20" t="s">
        <v>167</v>
      </c>
      <c r="D53" s="21" t="s">
        <v>116</v>
      </c>
      <c r="E53" s="22">
        <v>410</v>
      </c>
      <c r="F53" s="23" t="s">
        <v>76</v>
      </c>
      <c r="G53" s="24">
        <f t="shared" si="31"/>
        <v>5060373</v>
      </c>
      <c r="H53" s="45"/>
      <c r="I53" s="24"/>
      <c r="J53" s="24"/>
      <c r="K53" s="45"/>
      <c r="L53" s="33"/>
      <c r="M53" s="33"/>
      <c r="N53" s="33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>
        <f>3000000+2060373</f>
        <v>5060373</v>
      </c>
      <c r="AA53" s="25">
        <f t="shared" si="1"/>
        <v>0.86276327851721601</v>
      </c>
      <c r="AB53" s="24">
        <f t="shared" si="32"/>
        <v>4365904</v>
      </c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>
        <f>+'[1]SEPTIEMBRE 2016'!$AG$2392</f>
        <v>4365904</v>
      </c>
      <c r="AW53" s="25">
        <f t="shared" si="3"/>
        <v>0.13723672148278399</v>
      </c>
      <c r="AX53" s="24">
        <f t="shared" si="33"/>
        <v>694469</v>
      </c>
      <c r="AY53" s="24">
        <f t="shared" si="43"/>
        <v>0</v>
      </c>
      <c r="AZ53" s="24">
        <f t="shared" si="43"/>
        <v>0</v>
      </c>
      <c r="BA53" s="24">
        <f t="shared" si="43"/>
        <v>0</v>
      </c>
      <c r="BB53" s="24">
        <f t="shared" si="53"/>
        <v>0</v>
      </c>
      <c r="BC53" s="24">
        <f t="shared" si="53"/>
        <v>0</v>
      </c>
      <c r="BD53" s="24">
        <f t="shared" si="53"/>
        <v>0</v>
      </c>
      <c r="BE53" s="24">
        <f t="shared" si="53"/>
        <v>0</v>
      </c>
      <c r="BF53" s="24">
        <f t="shared" si="53"/>
        <v>0</v>
      </c>
      <c r="BG53" s="24">
        <f t="shared" si="60"/>
        <v>0</v>
      </c>
      <c r="BH53" s="24">
        <f t="shared" si="53"/>
        <v>0</v>
      </c>
      <c r="BI53" s="24">
        <f t="shared" si="53"/>
        <v>0</v>
      </c>
      <c r="BJ53" s="24">
        <f t="shared" si="53"/>
        <v>0</v>
      </c>
      <c r="BK53" s="24"/>
      <c r="BL53" s="24">
        <f t="shared" si="53"/>
        <v>0</v>
      </c>
      <c r="BM53" s="24">
        <f t="shared" si="53"/>
        <v>0</v>
      </c>
      <c r="BN53" s="24"/>
      <c r="BO53" s="24"/>
      <c r="BP53" s="24">
        <f t="shared" si="54"/>
        <v>0</v>
      </c>
      <c r="BQ53" s="24">
        <f t="shared" si="55"/>
        <v>694469</v>
      </c>
      <c r="BR53" s="25">
        <f t="shared" si="10"/>
        <v>0.86276327851721601</v>
      </c>
      <c r="BS53" s="24">
        <f t="shared" si="36"/>
        <v>4365904</v>
      </c>
      <c r="BT53" s="24"/>
      <c r="BU53" s="24"/>
      <c r="BV53" s="24"/>
      <c r="BW53" s="24"/>
      <c r="BX53" s="24"/>
      <c r="BY53" s="24"/>
      <c r="BZ53" s="24"/>
      <c r="CA53" s="24"/>
      <c r="CB53" s="24"/>
      <c r="CC53" s="24"/>
      <c r="CD53" s="24"/>
      <c r="CE53" s="24"/>
      <c r="CF53" s="24"/>
      <c r="CG53" s="24"/>
      <c r="CH53" s="24"/>
      <c r="CI53" s="24"/>
      <c r="CJ53" s="24"/>
      <c r="CK53" s="24"/>
      <c r="CL53" s="24"/>
      <c r="CM53" s="24">
        <f>+'[1]SEPTIEMBRE 2016'!$H$2390</f>
        <v>4365904</v>
      </c>
      <c r="CN53" s="25">
        <f t="shared" si="12"/>
        <v>0.13723672148278399</v>
      </c>
      <c r="CO53" s="24">
        <f t="shared" si="37"/>
        <v>694469</v>
      </c>
      <c r="CP53" s="24">
        <f t="shared" si="46"/>
        <v>0</v>
      </c>
      <c r="CQ53" s="24">
        <f t="shared" si="46"/>
        <v>0</v>
      </c>
      <c r="CR53" s="24">
        <f t="shared" si="46"/>
        <v>0</v>
      </c>
      <c r="CS53" s="24">
        <f t="shared" si="46"/>
        <v>0</v>
      </c>
      <c r="CT53" s="24">
        <f t="shared" si="46"/>
        <v>0</v>
      </c>
      <c r="CU53" s="24">
        <f t="shared" si="46"/>
        <v>0</v>
      </c>
      <c r="CV53" s="24">
        <f>N53-CA53</f>
        <v>0</v>
      </c>
      <c r="CW53" s="24">
        <f>O53-CB53</f>
        <v>0</v>
      </c>
      <c r="CX53" s="24">
        <f>P53-CC53</f>
        <v>0</v>
      </c>
      <c r="CY53" s="24">
        <f t="shared" si="62"/>
        <v>0</v>
      </c>
      <c r="CZ53" s="24">
        <f t="shared" si="62"/>
        <v>0</v>
      </c>
      <c r="DA53" s="24">
        <f t="shared" si="62"/>
        <v>0</v>
      </c>
      <c r="DB53" s="24">
        <f>T53-CG53</f>
        <v>0</v>
      </c>
      <c r="DC53" s="24">
        <f>U53-CH53</f>
        <v>0</v>
      </c>
      <c r="DD53" s="24">
        <f>V53-CI53</f>
        <v>0</v>
      </c>
      <c r="DE53" s="24"/>
      <c r="DF53" s="24">
        <f>X53-CK53</f>
        <v>0</v>
      </c>
      <c r="DG53" s="24">
        <f t="shared" si="61"/>
        <v>0</v>
      </c>
      <c r="DH53" s="24">
        <f>Z53-CM53</f>
        <v>694469</v>
      </c>
      <c r="DI53" s="43"/>
    </row>
    <row r="54" spans="1:113" ht="51.75" customHeight="1" x14ac:dyDescent="0.25">
      <c r="A54" s="238"/>
      <c r="B54" s="231" t="s">
        <v>168</v>
      </c>
      <c r="C54" s="20" t="s">
        <v>169</v>
      </c>
      <c r="D54" s="21" t="s">
        <v>170</v>
      </c>
      <c r="E54" s="22">
        <v>410</v>
      </c>
      <c r="F54" s="23" t="s">
        <v>171</v>
      </c>
      <c r="G54" s="24">
        <f t="shared" si="31"/>
        <v>42000000</v>
      </c>
      <c r="H54" s="33"/>
      <c r="I54" s="24">
        <v>30000000</v>
      </c>
      <c r="J54" s="24"/>
      <c r="K54" s="33"/>
      <c r="L54" s="33"/>
      <c r="M54" s="33"/>
      <c r="N54" s="33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>
        <f>22000000+5000000-16000000+1000000</f>
        <v>12000000</v>
      </c>
      <c r="AA54" s="25">
        <f t="shared" si="1"/>
        <v>1</v>
      </c>
      <c r="AB54" s="24">
        <f t="shared" si="32"/>
        <v>42000000</v>
      </c>
      <c r="AC54" s="24"/>
      <c r="AD54" s="24"/>
      <c r="AE54" s="24">
        <v>30000000</v>
      </c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>
        <f>+'[4]AGOSTO 2016'!$AG$2028</f>
        <v>12000000</v>
      </c>
      <c r="AW54" s="25">
        <f t="shared" si="3"/>
        <v>0</v>
      </c>
      <c r="AX54" s="24">
        <f t="shared" si="33"/>
        <v>0</v>
      </c>
      <c r="AY54" s="24">
        <f t="shared" si="43"/>
        <v>0</v>
      </c>
      <c r="AZ54" s="24">
        <f t="shared" si="43"/>
        <v>0</v>
      </c>
      <c r="BA54" s="24">
        <f t="shared" si="43"/>
        <v>0</v>
      </c>
      <c r="BB54" s="24">
        <f t="shared" si="53"/>
        <v>0</v>
      </c>
      <c r="BC54" s="24">
        <f t="shared" si="53"/>
        <v>0</v>
      </c>
      <c r="BD54" s="24">
        <f t="shared" si="53"/>
        <v>0</v>
      </c>
      <c r="BE54" s="24">
        <f t="shared" si="53"/>
        <v>0</v>
      </c>
      <c r="BF54" s="24">
        <f t="shared" si="53"/>
        <v>0</v>
      </c>
      <c r="BG54" s="24">
        <f t="shared" si="60"/>
        <v>0</v>
      </c>
      <c r="BH54" s="24">
        <f t="shared" si="53"/>
        <v>0</v>
      </c>
      <c r="BI54" s="24">
        <f t="shared" si="53"/>
        <v>0</v>
      </c>
      <c r="BJ54" s="24">
        <f t="shared" si="53"/>
        <v>0</v>
      </c>
      <c r="BK54" s="24">
        <f t="shared" si="53"/>
        <v>0</v>
      </c>
      <c r="BL54" s="24">
        <f t="shared" si="53"/>
        <v>0</v>
      </c>
      <c r="BM54" s="24">
        <f t="shared" si="53"/>
        <v>0</v>
      </c>
      <c r="BN54" s="24"/>
      <c r="BO54" s="24"/>
      <c r="BP54" s="24">
        <f t="shared" si="54"/>
        <v>0</v>
      </c>
      <c r="BQ54" s="24">
        <f t="shared" si="55"/>
        <v>0</v>
      </c>
      <c r="BR54" s="25">
        <f t="shared" si="10"/>
        <v>0.99857790476190478</v>
      </c>
      <c r="BS54" s="24">
        <f t="shared" si="36"/>
        <v>41940272</v>
      </c>
      <c r="BT54" s="24"/>
      <c r="BU54" s="24"/>
      <c r="BV54" s="24">
        <f>+'[1]SEPTIEMBRE 2016'!$H$2409</f>
        <v>29940272</v>
      </c>
      <c r="BW54" s="24"/>
      <c r="BX54" s="24"/>
      <c r="BY54" s="24"/>
      <c r="BZ54" s="24"/>
      <c r="CA54" s="24"/>
      <c r="CB54" s="24"/>
      <c r="CC54" s="24"/>
      <c r="CD54" s="24"/>
      <c r="CE54" s="24"/>
      <c r="CF54" s="24"/>
      <c r="CG54" s="24"/>
      <c r="CH54" s="24"/>
      <c r="CI54" s="24"/>
      <c r="CJ54" s="24"/>
      <c r="CK54" s="24"/>
      <c r="CL54" s="24"/>
      <c r="CM54" s="24">
        <f>+'[1]SEPTIEMBRE 2016'!$H$2462+'[1]SEPTIEMBRE 2016'!$H$2464+'[1]SEPTIEMBRE 2016'!$H$2466+'[1]SEPTIEMBRE 2016'!$H$2407</f>
        <v>12000000</v>
      </c>
      <c r="CN54" s="25">
        <f t="shared" si="12"/>
        <v>1.4220952380952223E-3</v>
      </c>
      <c r="CO54" s="24">
        <f t="shared" si="37"/>
        <v>59728</v>
      </c>
      <c r="CP54" s="24">
        <f t="shared" si="46"/>
        <v>0</v>
      </c>
      <c r="CQ54" s="24">
        <f t="shared" si="46"/>
        <v>59728</v>
      </c>
      <c r="CR54" s="24">
        <f t="shared" si="46"/>
        <v>0</v>
      </c>
      <c r="CS54" s="24">
        <f t="shared" si="46"/>
        <v>0</v>
      </c>
      <c r="CT54" s="24">
        <f t="shared" si="46"/>
        <v>0</v>
      </c>
      <c r="CU54" s="24">
        <f t="shared" si="46"/>
        <v>0</v>
      </c>
      <c r="CV54" s="24">
        <f t="shared" ref="CV54:CW59" si="63">+N54-CA54</f>
        <v>0</v>
      </c>
      <c r="CW54" s="24">
        <f t="shared" si="63"/>
        <v>0</v>
      </c>
      <c r="CX54" s="24">
        <f t="shared" ref="CX54:CX59" si="64">P54-CC54</f>
        <v>0</v>
      </c>
      <c r="CY54" s="24">
        <f t="shared" si="62"/>
        <v>0</v>
      </c>
      <c r="CZ54" s="24">
        <f t="shared" si="62"/>
        <v>0</v>
      </c>
      <c r="DA54" s="24">
        <f t="shared" si="62"/>
        <v>0</v>
      </c>
      <c r="DB54" s="24">
        <f t="shared" ref="DB54:DD59" si="65">+T54-CG54</f>
        <v>0</v>
      </c>
      <c r="DC54" s="24">
        <f t="shared" si="65"/>
        <v>0</v>
      </c>
      <c r="DD54" s="24">
        <f t="shared" si="65"/>
        <v>0</v>
      </c>
      <c r="DE54" s="24"/>
      <c r="DF54" s="24">
        <f t="shared" ref="DF54:DF59" si="66">+X54-CK54</f>
        <v>0</v>
      </c>
      <c r="DG54" s="24">
        <f t="shared" si="61"/>
        <v>0</v>
      </c>
      <c r="DH54" s="24">
        <f t="shared" ref="DH54:DH59" si="67">+Z54-CM54</f>
        <v>0</v>
      </c>
    </row>
    <row r="55" spans="1:113" ht="54" customHeight="1" x14ac:dyDescent="0.25">
      <c r="A55" s="238"/>
      <c r="B55" s="232"/>
      <c r="C55" s="20" t="s">
        <v>172</v>
      </c>
      <c r="D55" s="21" t="s">
        <v>173</v>
      </c>
      <c r="E55" s="22">
        <v>410</v>
      </c>
      <c r="F55" s="23" t="s">
        <v>91</v>
      </c>
      <c r="G55" s="24">
        <f t="shared" si="31"/>
        <v>10000000</v>
      </c>
      <c r="H55" s="33"/>
      <c r="I55" s="24"/>
      <c r="J55" s="24"/>
      <c r="K55" s="33"/>
      <c r="L55" s="33"/>
      <c r="M55" s="33"/>
      <c r="N55" s="33"/>
      <c r="O55" s="24"/>
      <c r="P55" s="24"/>
      <c r="Q55" s="24"/>
      <c r="R55" s="24"/>
      <c r="S55" s="24"/>
      <c r="T55" s="24"/>
      <c r="U55" s="24">
        <v>10000000</v>
      </c>
      <c r="V55" s="24"/>
      <c r="W55" s="24"/>
      <c r="X55" s="24"/>
      <c r="Y55" s="24"/>
      <c r="Z55" s="24"/>
      <c r="AA55" s="25">
        <f t="shared" si="1"/>
        <v>1</v>
      </c>
      <c r="AB55" s="24">
        <f t="shared" si="32"/>
        <v>10000000</v>
      </c>
      <c r="AC55" s="24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4"/>
      <c r="AO55" s="24"/>
      <c r="AP55" s="24"/>
      <c r="AQ55" s="24">
        <v>10000000</v>
      </c>
      <c r="AR55" s="24"/>
      <c r="AS55" s="24"/>
      <c r="AT55" s="24"/>
      <c r="AU55" s="24"/>
      <c r="AV55" s="24"/>
      <c r="AW55" s="25">
        <f t="shared" si="3"/>
        <v>0</v>
      </c>
      <c r="AX55" s="24">
        <f t="shared" si="33"/>
        <v>0</v>
      </c>
      <c r="AY55" s="24">
        <f t="shared" si="43"/>
        <v>0</v>
      </c>
      <c r="AZ55" s="24">
        <f t="shared" si="43"/>
        <v>0</v>
      </c>
      <c r="BA55" s="24">
        <f t="shared" si="43"/>
        <v>0</v>
      </c>
      <c r="BB55" s="24">
        <f t="shared" ref="BB55:BF59" si="68">+K55-AG55</f>
        <v>0</v>
      </c>
      <c r="BC55" s="24">
        <f t="shared" si="68"/>
        <v>0</v>
      </c>
      <c r="BD55" s="24">
        <f t="shared" si="68"/>
        <v>0</v>
      </c>
      <c r="BE55" s="24">
        <f t="shared" si="68"/>
        <v>0</v>
      </c>
      <c r="BF55" s="24">
        <f t="shared" si="68"/>
        <v>0</v>
      </c>
      <c r="BG55" s="24">
        <f t="shared" si="60"/>
        <v>0</v>
      </c>
      <c r="BH55" s="24">
        <f t="shared" ref="BH55:BM59" si="69">+Q55-AM55</f>
        <v>0</v>
      </c>
      <c r="BI55" s="24">
        <f t="shared" si="69"/>
        <v>0</v>
      </c>
      <c r="BJ55" s="24">
        <f t="shared" si="69"/>
        <v>0</v>
      </c>
      <c r="BK55" s="24">
        <f t="shared" si="69"/>
        <v>0</v>
      </c>
      <c r="BL55" s="24">
        <f t="shared" si="69"/>
        <v>0</v>
      </c>
      <c r="BM55" s="24">
        <f t="shared" si="69"/>
        <v>0</v>
      </c>
      <c r="BN55" s="24"/>
      <c r="BO55" s="24"/>
      <c r="BP55" s="24">
        <f t="shared" si="54"/>
        <v>0</v>
      </c>
      <c r="BQ55" s="24">
        <f t="shared" si="55"/>
        <v>0</v>
      </c>
      <c r="BR55" s="25">
        <f t="shared" si="10"/>
        <v>0.9553836</v>
      </c>
      <c r="BS55" s="24">
        <f t="shared" si="36"/>
        <v>9553836</v>
      </c>
      <c r="BT55" s="24"/>
      <c r="BU55" s="24"/>
      <c r="BV55" s="24"/>
      <c r="BW55" s="24"/>
      <c r="BX55" s="24"/>
      <c r="BY55" s="24"/>
      <c r="BZ55" s="24"/>
      <c r="CA55" s="24"/>
      <c r="CB55" s="24"/>
      <c r="CC55" s="24"/>
      <c r="CD55" s="24"/>
      <c r="CE55" s="24"/>
      <c r="CF55" s="24"/>
      <c r="CG55" s="24"/>
      <c r="CH55" s="24">
        <f>+'[3]FEBRERO 2016'!$H$621</f>
        <v>9553836</v>
      </c>
      <c r="CI55" s="24"/>
      <c r="CJ55" s="24"/>
      <c r="CK55" s="24"/>
      <c r="CL55" s="24"/>
      <c r="CM55" s="24"/>
      <c r="CN55" s="25">
        <f t="shared" si="12"/>
        <v>4.4616400000000001E-2</v>
      </c>
      <c r="CO55" s="24">
        <f t="shared" si="37"/>
        <v>446164</v>
      </c>
      <c r="CP55" s="24">
        <f t="shared" si="46"/>
        <v>0</v>
      </c>
      <c r="CQ55" s="24">
        <f t="shared" si="46"/>
        <v>0</v>
      </c>
      <c r="CR55" s="24">
        <f t="shared" si="46"/>
        <v>0</v>
      </c>
      <c r="CS55" s="24">
        <f t="shared" si="46"/>
        <v>0</v>
      </c>
      <c r="CT55" s="24">
        <f t="shared" si="46"/>
        <v>0</v>
      </c>
      <c r="CU55" s="24">
        <f t="shared" si="46"/>
        <v>0</v>
      </c>
      <c r="CV55" s="24">
        <f t="shared" si="63"/>
        <v>0</v>
      </c>
      <c r="CW55" s="24">
        <f t="shared" si="63"/>
        <v>0</v>
      </c>
      <c r="CX55" s="24">
        <f t="shared" si="64"/>
        <v>0</v>
      </c>
      <c r="CY55" s="24">
        <f t="shared" si="62"/>
        <v>0</v>
      </c>
      <c r="CZ55" s="24">
        <f t="shared" si="62"/>
        <v>0</v>
      </c>
      <c r="DA55" s="24">
        <f t="shared" si="62"/>
        <v>0</v>
      </c>
      <c r="DB55" s="24">
        <f t="shared" si="65"/>
        <v>0</v>
      </c>
      <c r="DC55" s="24">
        <f t="shared" si="65"/>
        <v>446164</v>
      </c>
      <c r="DD55" s="24">
        <f t="shared" si="65"/>
        <v>0</v>
      </c>
      <c r="DE55" s="24"/>
      <c r="DF55" s="24">
        <f t="shared" si="66"/>
        <v>0</v>
      </c>
      <c r="DG55" s="24">
        <f t="shared" si="61"/>
        <v>0</v>
      </c>
      <c r="DH55" s="24">
        <f t="shared" si="67"/>
        <v>0</v>
      </c>
    </row>
    <row r="56" spans="1:113" ht="48" customHeight="1" x14ac:dyDescent="0.25">
      <c r="A56" s="238"/>
      <c r="B56" s="232"/>
      <c r="C56" s="20" t="s">
        <v>174</v>
      </c>
      <c r="D56" s="21" t="s">
        <v>175</v>
      </c>
      <c r="E56" s="22">
        <v>410</v>
      </c>
      <c r="F56" s="23" t="s">
        <v>91</v>
      </c>
      <c r="G56" s="24">
        <f t="shared" si="31"/>
        <v>30000000</v>
      </c>
      <c r="H56" s="33"/>
      <c r="I56" s="24">
        <f>11831904</f>
        <v>11831904</v>
      </c>
      <c r="J56" s="24"/>
      <c r="K56" s="33"/>
      <c r="L56" s="33"/>
      <c r="M56" s="33"/>
      <c r="N56" s="33"/>
      <c r="O56" s="24"/>
      <c r="P56" s="24"/>
      <c r="Q56" s="24"/>
      <c r="R56" s="24"/>
      <c r="S56" s="24"/>
      <c r="T56" s="24"/>
      <c r="U56" s="24">
        <v>18168096</v>
      </c>
      <c r="V56" s="24"/>
      <c r="W56" s="24"/>
      <c r="X56" s="24"/>
      <c r="Y56" s="24"/>
      <c r="Z56" s="24"/>
      <c r="AA56" s="25">
        <f t="shared" si="1"/>
        <v>1</v>
      </c>
      <c r="AB56" s="24">
        <f t="shared" si="32"/>
        <v>30000000</v>
      </c>
      <c r="AC56" s="24"/>
      <c r="AD56" s="24"/>
      <c r="AE56" s="24">
        <f>+'[9]MARZO 2016 ULTIMO'!$M$817</f>
        <v>11831904</v>
      </c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  <c r="AQ56" s="24">
        <v>18168096</v>
      </c>
      <c r="AR56" s="24"/>
      <c r="AS56" s="24"/>
      <c r="AT56" s="24"/>
      <c r="AU56" s="24"/>
      <c r="AV56" s="24"/>
      <c r="AW56" s="25">
        <f t="shared" si="3"/>
        <v>0</v>
      </c>
      <c r="AX56" s="24">
        <f t="shared" si="33"/>
        <v>0</v>
      </c>
      <c r="AY56" s="24">
        <f t="shared" si="43"/>
        <v>0</v>
      </c>
      <c r="AZ56" s="24">
        <f t="shared" si="43"/>
        <v>0</v>
      </c>
      <c r="BA56" s="24">
        <f t="shared" si="43"/>
        <v>0</v>
      </c>
      <c r="BB56" s="24">
        <f t="shared" si="68"/>
        <v>0</v>
      </c>
      <c r="BC56" s="24">
        <f t="shared" si="68"/>
        <v>0</v>
      </c>
      <c r="BD56" s="24">
        <f t="shared" si="68"/>
        <v>0</v>
      </c>
      <c r="BE56" s="24">
        <f t="shared" si="68"/>
        <v>0</v>
      </c>
      <c r="BF56" s="24">
        <f t="shared" si="68"/>
        <v>0</v>
      </c>
      <c r="BG56" s="24">
        <f t="shared" si="60"/>
        <v>0</v>
      </c>
      <c r="BH56" s="24">
        <f t="shared" si="69"/>
        <v>0</v>
      </c>
      <c r="BI56" s="24">
        <f t="shared" si="69"/>
        <v>0</v>
      </c>
      <c r="BJ56" s="24">
        <f t="shared" si="69"/>
        <v>0</v>
      </c>
      <c r="BK56" s="24">
        <f t="shared" si="69"/>
        <v>0</v>
      </c>
      <c r="BL56" s="24">
        <f t="shared" si="69"/>
        <v>0</v>
      </c>
      <c r="BM56" s="24">
        <f t="shared" si="69"/>
        <v>0</v>
      </c>
      <c r="BN56" s="24"/>
      <c r="BO56" s="24"/>
      <c r="BP56" s="24">
        <f t="shared" si="54"/>
        <v>0</v>
      </c>
      <c r="BQ56" s="24">
        <f t="shared" si="55"/>
        <v>0</v>
      </c>
      <c r="BR56" s="25">
        <f t="shared" si="10"/>
        <v>0.99612520000000004</v>
      </c>
      <c r="BS56" s="24">
        <f t="shared" si="36"/>
        <v>29883756</v>
      </c>
      <c r="BT56" s="24"/>
      <c r="BU56" s="24"/>
      <c r="BV56" s="24">
        <f>+'[1]SEPTIEMBRE 2016'!$H$2481</f>
        <v>11715660</v>
      </c>
      <c r="BW56" s="24"/>
      <c r="BX56" s="24"/>
      <c r="BY56" s="24"/>
      <c r="BZ56" s="24"/>
      <c r="CA56" s="24"/>
      <c r="CB56" s="24"/>
      <c r="CC56" s="24"/>
      <c r="CD56" s="24"/>
      <c r="CE56" s="24"/>
      <c r="CF56" s="24"/>
      <c r="CG56" s="24"/>
      <c r="CH56" s="24">
        <f>+'[3]FEBRERO 2016'!$H$635</f>
        <v>18168096</v>
      </c>
      <c r="CI56" s="24"/>
      <c r="CJ56" s="24"/>
      <c r="CK56" s="24"/>
      <c r="CL56" s="24"/>
      <c r="CM56" s="24"/>
      <c r="CN56" s="25">
        <f t="shared" si="12"/>
        <v>3.8747999999999561E-3</v>
      </c>
      <c r="CO56" s="24">
        <f t="shared" si="37"/>
        <v>116244</v>
      </c>
      <c r="CP56" s="24">
        <f t="shared" si="46"/>
        <v>0</v>
      </c>
      <c r="CQ56" s="24">
        <f t="shared" si="46"/>
        <v>116244</v>
      </c>
      <c r="CR56" s="24">
        <f t="shared" si="46"/>
        <v>0</v>
      </c>
      <c r="CS56" s="24">
        <f t="shared" si="46"/>
        <v>0</v>
      </c>
      <c r="CT56" s="24">
        <f t="shared" si="46"/>
        <v>0</v>
      </c>
      <c r="CU56" s="24">
        <f t="shared" si="46"/>
        <v>0</v>
      </c>
      <c r="CV56" s="24">
        <f t="shared" si="63"/>
        <v>0</v>
      </c>
      <c r="CW56" s="24">
        <f t="shared" si="63"/>
        <v>0</v>
      </c>
      <c r="CX56" s="24">
        <f t="shared" si="64"/>
        <v>0</v>
      </c>
      <c r="CY56" s="24">
        <f t="shared" si="62"/>
        <v>0</v>
      </c>
      <c r="CZ56" s="24">
        <f t="shared" si="62"/>
        <v>0</v>
      </c>
      <c r="DA56" s="24">
        <f t="shared" si="62"/>
        <v>0</v>
      </c>
      <c r="DB56" s="24">
        <f t="shared" si="65"/>
        <v>0</v>
      </c>
      <c r="DC56" s="24">
        <f t="shared" si="65"/>
        <v>0</v>
      </c>
      <c r="DD56" s="24">
        <f t="shared" si="65"/>
        <v>0</v>
      </c>
      <c r="DE56" s="24"/>
      <c r="DF56" s="24">
        <f t="shared" si="66"/>
        <v>0</v>
      </c>
      <c r="DG56" s="24">
        <f t="shared" si="61"/>
        <v>0</v>
      </c>
      <c r="DH56" s="24">
        <f t="shared" si="67"/>
        <v>0</v>
      </c>
    </row>
    <row r="57" spans="1:113" ht="30" customHeight="1" x14ac:dyDescent="0.25">
      <c r="A57" s="238"/>
      <c r="B57" s="232"/>
      <c r="C57" s="20" t="s">
        <v>176</v>
      </c>
      <c r="D57" s="21" t="s">
        <v>177</v>
      </c>
      <c r="E57" s="22">
        <v>410</v>
      </c>
      <c r="F57" s="23" t="s">
        <v>91</v>
      </c>
      <c r="G57" s="24">
        <f t="shared" si="31"/>
        <v>10000000</v>
      </c>
      <c r="H57" s="33"/>
      <c r="I57" s="33"/>
      <c r="J57" s="33"/>
      <c r="K57" s="33"/>
      <c r="L57" s="33"/>
      <c r="M57" s="33"/>
      <c r="N57" s="33"/>
      <c r="O57" s="24"/>
      <c r="P57" s="24"/>
      <c r="Q57" s="24"/>
      <c r="R57" s="24"/>
      <c r="S57" s="24"/>
      <c r="T57" s="24"/>
      <c r="U57" s="24">
        <v>10000000</v>
      </c>
      <c r="V57" s="24"/>
      <c r="W57" s="24"/>
      <c r="X57" s="24"/>
      <c r="Y57" s="24"/>
      <c r="Z57" s="24"/>
      <c r="AA57" s="25">
        <f t="shared" si="1"/>
        <v>1</v>
      </c>
      <c r="AB57" s="24">
        <f t="shared" si="32"/>
        <v>10000000</v>
      </c>
      <c r="AC57" s="24"/>
      <c r="AD57" s="24"/>
      <c r="AE57" s="24"/>
      <c r="AF57" s="24"/>
      <c r="AG57" s="24"/>
      <c r="AH57" s="24"/>
      <c r="AI57" s="24"/>
      <c r="AJ57" s="24"/>
      <c r="AK57" s="24"/>
      <c r="AL57" s="24"/>
      <c r="AM57" s="24"/>
      <c r="AN57" s="24"/>
      <c r="AO57" s="24"/>
      <c r="AP57" s="24"/>
      <c r="AQ57" s="24">
        <f>+'[2]ENERO 2016'!$Y$478</f>
        <v>10000000</v>
      </c>
      <c r="AR57" s="24"/>
      <c r="AS57" s="24"/>
      <c r="AT57" s="24"/>
      <c r="AU57" s="24"/>
      <c r="AV57" s="24"/>
      <c r="AW57" s="25">
        <f t="shared" si="3"/>
        <v>0</v>
      </c>
      <c r="AX57" s="24">
        <f t="shared" si="33"/>
        <v>0</v>
      </c>
      <c r="AY57" s="24">
        <f t="shared" si="43"/>
        <v>0</v>
      </c>
      <c r="AZ57" s="24">
        <f t="shared" si="43"/>
        <v>0</v>
      </c>
      <c r="BA57" s="24">
        <f t="shared" si="43"/>
        <v>0</v>
      </c>
      <c r="BB57" s="24">
        <f t="shared" si="68"/>
        <v>0</v>
      </c>
      <c r="BC57" s="24">
        <f t="shared" si="68"/>
        <v>0</v>
      </c>
      <c r="BD57" s="24">
        <f t="shared" si="68"/>
        <v>0</v>
      </c>
      <c r="BE57" s="24">
        <f t="shared" si="68"/>
        <v>0</v>
      </c>
      <c r="BF57" s="24">
        <f t="shared" si="68"/>
        <v>0</v>
      </c>
      <c r="BG57" s="24">
        <f t="shared" si="60"/>
        <v>0</v>
      </c>
      <c r="BH57" s="24">
        <f t="shared" si="69"/>
        <v>0</v>
      </c>
      <c r="BI57" s="24">
        <f t="shared" si="69"/>
        <v>0</v>
      </c>
      <c r="BJ57" s="24">
        <f t="shared" si="69"/>
        <v>0</v>
      </c>
      <c r="BK57" s="24">
        <f t="shared" si="69"/>
        <v>0</v>
      </c>
      <c r="BL57" s="24">
        <f t="shared" si="69"/>
        <v>0</v>
      </c>
      <c r="BM57" s="24">
        <f t="shared" si="69"/>
        <v>0</v>
      </c>
      <c r="BN57" s="24"/>
      <c r="BO57" s="24"/>
      <c r="BP57" s="24">
        <f t="shared" si="54"/>
        <v>0</v>
      </c>
      <c r="BQ57" s="24">
        <f t="shared" si="55"/>
        <v>0</v>
      </c>
      <c r="BR57" s="25">
        <f t="shared" si="10"/>
        <v>1</v>
      </c>
      <c r="BS57" s="24">
        <f t="shared" si="36"/>
        <v>10000000</v>
      </c>
      <c r="BT57" s="24"/>
      <c r="BU57" s="24"/>
      <c r="BV57" s="24"/>
      <c r="BW57" s="24"/>
      <c r="BX57" s="24"/>
      <c r="BY57" s="24"/>
      <c r="BZ57" s="24"/>
      <c r="CA57" s="24"/>
      <c r="CB57" s="24"/>
      <c r="CC57" s="24"/>
      <c r="CD57" s="24"/>
      <c r="CE57" s="24"/>
      <c r="CF57" s="24"/>
      <c r="CG57" s="24"/>
      <c r="CH57" s="24">
        <v>10000000</v>
      </c>
      <c r="CI57" s="24"/>
      <c r="CJ57" s="24"/>
      <c r="CK57" s="24"/>
      <c r="CL57" s="24"/>
      <c r="CM57" s="24"/>
      <c r="CN57" s="25">
        <f t="shared" si="12"/>
        <v>0</v>
      </c>
      <c r="CO57" s="24">
        <f t="shared" si="37"/>
        <v>0</v>
      </c>
      <c r="CP57" s="24">
        <f t="shared" si="46"/>
        <v>0</v>
      </c>
      <c r="CQ57" s="24">
        <f t="shared" si="46"/>
        <v>0</v>
      </c>
      <c r="CR57" s="24">
        <f t="shared" si="46"/>
        <v>0</v>
      </c>
      <c r="CS57" s="24">
        <f t="shared" si="46"/>
        <v>0</v>
      </c>
      <c r="CT57" s="24">
        <f t="shared" si="46"/>
        <v>0</v>
      </c>
      <c r="CU57" s="24">
        <f t="shared" si="46"/>
        <v>0</v>
      </c>
      <c r="CV57" s="24">
        <f t="shared" si="63"/>
        <v>0</v>
      </c>
      <c r="CW57" s="24">
        <f t="shared" si="63"/>
        <v>0</v>
      </c>
      <c r="CX57" s="24">
        <f t="shared" si="64"/>
        <v>0</v>
      </c>
      <c r="CY57" s="24">
        <f t="shared" si="62"/>
        <v>0</v>
      </c>
      <c r="CZ57" s="24">
        <f t="shared" si="62"/>
        <v>0</v>
      </c>
      <c r="DA57" s="24">
        <f t="shared" si="62"/>
        <v>0</v>
      </c>
      <c r="DB57" s="24">
        <f t="shared" si="65"/>
        <v>0</v>
      </c>
      <c r="DC57" s="24">
        <f t="shared" si="65"/>
        <v>0</v>
      </c>
      <c r="DD57" s="24">
        <f t="shared" si="65"/>
        <v>0</v>
      </c>
      <c r="DE57" s="24"/>
      <c r="DF57" s="24">
        <f t="shared" si="66"/>
        <v>0</v>
      </c>
      <c r="DG57" s="24">
        <f t="shared" si="61"/>
        <v>0</v>
      </c>
      <c r="DH57" s="24">
        <f t="shared" si="67"/>
        <v>0</v>
      </c>
    </row>
    <row r="58" spans="1:113" ht="38.25" customHeight="1" x14ac:dyDescent="0.25">
      <c r="A58" s="238"/>
      <c r="B58" s="232"/>
      <c r="C58" s="20" t="s">
        <v>178</v>
      </c>
      <c r="D58" s="21" t="s">
        <v>179</v>
      </c>
      <c r="E58" s="22">
        <v>410</v>
      </c>
      <c r="F58" s="23" t="s">
        <v>91</v>
      </c>
      <c r="G58" s="24">
        <f t="shared" si="31"/>
        <v>226043428</v>
      </c>
      <c r="H58" s="33"/>
      <c r="I58" s="24">
        <v>131674838</v>
      </c>
      <c r="J58" s="33"/>
      <c r="K58" s="33"/>
      <c r="L58" s="33">
        <f>74368590</f>
        <v>74368590</v>
      </c>
      <c r="M58" s="33"/>
      <c r="N58" s="33"/>
      <c r="O58" s="24"/>
      <c r="P58" s="24"/>
      <c r="Q58" s="24"/>
      <c r="R58" s="24"/>
      <c r="S58" s="24"/>
      <c r="T58" s="24"/>
      <c r="U58" s="24">
        <v>20000000</v>
      </c>
      <c r="V58" s="24"/>
      <c r="W58" s="24"/>
      <c r="X58" s="24"/>
      <c r="Y58" s="24"/>
      <c r="Z58" s="24"/>
      <c r="AA58" s="25">
        <f t="shared" si="1"/>
        <v>0.36528307295003509</v>
      </c>
      <c r="AB58" s="24">
        <f t="shared" si="32"/>
        <v>82569838</v>
      </c>
      <c r="AC58" s="24"/>
      <c r="AD58" s="24"/>
      <c r="AE58" s="24">
        <f>+'[1]SEPTIEMBRE 2016'!$M$2558</f>
        <v>21330100</v>
      </c>
      <c r="AF58" s="24"/>
      <c r="AG58" s="24"/>
      <c r="AH58" s="24">
        <f>+'[4]AGOSTO 2016'!$P$2179</f>
        <v>43061377</v>
      </c>
      <c r="AI58" s="24"/>
      <c r="AJ58" s="24"/>
      <c r="AK58" s="24"/>
      <c r="AL58" s="24"/>
      <c r="AM58" s="24"/>
      <c r="AN58" s="24"/>
      <c r="AO58" s="24"/>
      <c r="AP58" s="24"/>
      <c r="AQ58" s="24">
        <f>+'[6]JUNIO 2016'!$Y$1439</f>
        <v>18178361</v>
      </c>
      <c r="AR58" s="24"/>
      <c r="AS58" s="24"/>
      <c r="AT58" s="24"/>
      <c r="AU58" s="24"/>
      <c r="AV58" s="24"/>
      <c r="AW58" s="25">
        <f t="shared" si="3"/>
        <v>0.63471692704996485</v>
      </c>
      <c r="AX58" s="24">
        <f t="shared" si="33"/>
        <v>143473590</v>
      </c>
      <c r="AY58" s="24">
        <f t="shared" si="43"/>
        <v>0</v>
      </c>
      <c r="AZ58" s="24">
        <f t="shared" si="43"/>
        <v>110344738</v>
      </c>
      <c r="BA58" s="24">
        <f t="shared" si="43"/>
        <v>0</v>
      </c>
      <c r="BB58" s="24">
        <f t="shared" si="68"/>
        <v>0</v>
      </c>
      <c r="BC58" s="24">
        <f t="shared" si="68"/>
        <v>31307213</v>
      </c>
      <c r="BD58" s="24">
        <f t="shared" si="68"/>
        <v>0</v>
      </c>
      <c r="BE58" s="24">
        <f t="shared" si="68"/>
        <v>0</v>
      </c>
      <c r="BF58" s="24">
        <f t="shared" si="68"/>
        <v>0</v>
      </c>
      <c r="BG58" s="24">
        <f t="shared" si="60"/>
        <v>0</v>
      </c>
      <c r="BH58" s="24">
        <f t="shared" si="69"/>
        <v>0</v>
      </c>
      <c r="BI58" s="24">
        <f t="shared" si="69"/>
        <v>0</v>
      </c>
      <c r="BJ58" s="24">
        <f t="shared" si="69"/>
        <v>0</v>
      </c>
      <c r="BK58" s="24">
        <f t="shared" si="69"/>
        <v>0</v>
      </c>
      <c r="BL58" s="24">
        <f t="shared" si="69"/>
        <v>1821639</v>
      </c>
      <c r="BM58" s="24">
        <f t="shared" si="69"/>
        <v>0</v>
      </c>
      <c r="BN58" s="24"/>
      <c r="BO58" s="24"/>
      <c r="BP58" s="24">
        <f t="shared" si="54"/>
        <v>0</v>
      </c>
      <c r="BQ58" s="24">
        <f t="shared" si="55"/>
        <v>0</v>
      </c>
      <c r="BR58" s="25">
        <f t="shared" si="10"/>
        <v>0.2553479988809938</v>
      </c>
      <c r="BS58" s="24">
        <f t="shared" si="36"/>
        <v>57719737</v>
      </c>
      <c r="BT58" s="24"/>
      <c r="BU58" s="24"/>
      <c r="BV58" s="24">
        <f>+'[1]SEPTIEMBRE 2016'!$H$2591</f>
        <v>872600</v>
      </c>
      <c r="BW58" s="24"/>
      <c r="BX58" s="24"/>
      <c r="BY58" s="24">
        <f>+'[1]SEPTIEMBRE 2016'!$H$2573+'[1]SEPTIEMBRE 2016'!$H$2578+'[1]SEPTIEMBRE 2016'!$H$2580+'[1]SEPTIEMBRE 2016'!$H$2588</f>
        <v>42967109</v>
      </c>
      <c r="BZ58" s="24"/>
      <c r="CA58" s="24"/>
      <c r="CB58" s="24"/>
      <c r="CC58" s="24"/>
      <c r="CD58" s="24"/>
      <c r="CE58" s="24"/>
      <c r="CF58" s="24"/>
      <c r="CG58" s="24"/>
      <c r="CH58" s="24">
        <f>+'[1]SEPTIEMBRE 2016'!$H$2556-BV58-BY58</f>
        <v>13880028</v>
      </c>
      <c r="CI58" s="24"/>
      <c r="CJ58" s="24"/>
      <c r="CK58" s="24"/>
      <c r="CL58" s="24"/>
      <c r="CM58" s="24"/>
      <c r="CN58" s="25">
        <f t="shared" si="12"/>
        <v>0.7446520011190062</v>
      </c>
      <c r="CO58" s="24">
        <f t="shared" si="37"/>
        <v>168323691</v>
      </c>
      <c r="CP58" s="24">
        <f t="shared" si="46"/>
        <v>0</v>
      </c>
      <c r="CQ58" s="24">
        <f t="shared" si="46"/>
        <v>130802238</v>
      </c>
      <c r="CR58" s="24">
        <f t="shared" si="46"/>
        <v>0</v>
      </c>
      <c r="CS58" s="24">
        <f t="shared" si="46"/>
        <v>0</v>
      </c>
      <c r="CT58" s="24">
        <f t="shared" si="46"/>
        <v>31401481</v>
      </c>
      <c r="CU58" s="24">
        <f t="shared" si="46"/>
        <v>0</v>
      </c>
      <c r="CV58" s="24">
        <f t="shared" si="63"/>
        <v>0</v>
      </c>
      <c r="CW58" s="24">
        <f t="shared" si="63"/>
        <v>0</v>
      </c>
      <c r="CX58" s="24">
        <f t="shared" si="64"/>
        <v>0</v>
      </c>
      <c r="CY58" s="24">
        <f t="shared" si="62"/>
        <v>0</v>
      </c>
      <c r="CZ58" s="24">
        <f t="shared" si="62"/>
        <v>0</v>
      </c>
      <c r="DA58" s="24">
        <f t="shared" si="62"/>
        <v>0</v>
      </c>
      <c r="DB58" s="24">
        <f t="shared" si="65"/>
        <v>0</v>
      </c>
      <c r="DC58" s="24">
        <f t="shared" si="65"/>
        <v>6119972</v>
      </c>
      <c r="DD58" s="24">
        <f t="shared" si="65"/>
        <v>0</v>
      </c>
      <c r="DE58" s="24"/>
      <c r="DF58" s="24">
        <f t="shared" si="66"/>
        <v>0</v>
      </c>
      <c r="DG58" s="24">
        <f t="shared" si="61"/>
        <v>0</v>
      </c>
      <c r="DH58" s="24">
        <f t="shared" si="67"/>
        <v>0</v>
      </c>
    </row>
    <row r="59" spans="1:113" ht="45.75" customHeight="1" x14ac:dyDescent="0.25">
      <c r="A59" s="239"/>
      <c r="B59" s="233"/>
      <c r="C59" s="20" t="s">
        <v>180</v>
      </c>
      <c r="D59" s="21" t="s">
        <v>181</v>
      </c>
      <c r="E59" s="22">
        <v>410</v>
      </c>
      <c r="F59" s="23" t="s">
        <v>91</v>
      </c>
      <c r="G59" s="24">
        <f t="shared" si="31"/>
        <v>16000000</v>
      </c>
      <c r="H59" s="33"/>
      <c r="I59" s="33"/>
      <c r="J59" s="33"/>
      <c r="K59" s="33"/>
      <c r="L59" s="33"/>
      <c r="M59" s="33"/>
      <c r="N59" s="33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>
        <f>16000000</f>
        <v>16000000</v>
      </c>
      <c r="AA59" s="25">
        <f t="shared" si="1"/>
        <v>1</v>
      </c>
      <c r="AB59" s="24">
        <f t="shared" si="32"/>
        <v>16000000</v>
      </c>
      <c r="AC59" s="24"/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>
        <f>+'[9]MARZO 2016 ULTIMO'!$AF$846</f>
        <v>16000000</v>
      </c>
      <c r="AW59" s="25">
        <f t="shared" si="3"/>
        <v>0</v>
      </c>
      <c r="AX59" s="24">
        <f t="shared" si="33"/>
        <v>0</v>
      </c>
      <c r="AY59" s="24">
        <f t="shared" si="43"/>
        <v>0</v>
      </c>
      <c r="AZ59" s="24">
        <f t="shared" si="43"/>
        <v>0</v>
      </c>
      <c r="BA59" s="24">
        <f t="shared" si="43"/>
        <v>0</v>
      </c>
      <c r="BB59" s="24">
        <f t="shared" si="68"/>
        <v>0</v>
      </c>
      <c r="BC59" s="24">
        <f t="shared" si="68"/>
        <v>0</v>
      </c>
      <c r="BD59" s="24">
        <f t="shared" si="68"/>
        <v>0</v>
      </c>
      <c r="BE59" s="24">
        <f t="shared" si="68"/>
        <v>0</v>
      </c>
      <c r="BF59" s="24">
        <f t="shared" si="68"/>
        <v>0</v>
      </c>
      <c r="BG59" s="24">
        <f t="shared" si="60"/>
        <v>0</v>
      </c>
      <c r="BH59" s="24">
        <f t="shared" si="69"/>
        <v>0</v>
      </c>
      <c r="BI59" s="24">
        <f t="shared" si="69"/>
        <v>0</v>
      </c>
      <c r="BJ59" s="24">
        <f t="shared" si="69"/>
        <v>0</v>
      </c>
      <c r="BK59" s="24">
        <f t="shared" si="69"/>
        <v>0</v>
      </c>
      <c r="BL59" s="24">
        <f t="shared" si="69"/>
        <v>0</v>
      </c>
      <c r="BM59" s="24">
        <f t="shared" si="69"/>
        <v>0</v>
      </c>
      <c r="BN59" s="24"/>
      <c r="BO59" s="24"/>
      <c r="BP59" s="24">
        <f t="shared" si="54"/>
        <v>0</v>
      </c>
      <c r="BQ59" s="24">
        <f t="shared" si="55"/>
        <v>0</v>
      </c>
      <c r="BR59" s="25">
        <f t="shared" si="10"/>
        <v>1</v>
      </c>
      <c r="BS59" s="24">
        <f t="shared" si="36"/>
        <v>16000000</v>
      </c>
      <c r="BT59" s="24"/>
      <c r="BU59" s="24"/>
      <c r="BV59" s="24"/>
      <c r="BW59" s="24"/>
      <c r="BX59" s="24"/>
      <c r="BY59" s="24"/>
      <c r="BZ59" s="24"/>
      <c r="CA59" s="24"/>
      <c r="CB59" s="24"/>
      <c r="CC59" s="24"/>
      <c r="CD59" s="24"/>
      <c r="CE59" s="24"/>
      <c r="CF59" s="24"/>
      <c r="CG59" s="24"/>
      <c r="CH59" s="24"/>
      <c r="CI59" s="24"/>
      <c r="CJ59" s="24"/>
      <c r="CK59" s="24"/>
      <c r="CL59" s="24"/>
      <c r="CM59" s="24">
        <f>+'[5]JULIO 2016'!$H$1616</f>
        <v>16000000</v>
      </c>
      <c r="CN59" s="25">
        <f t="shared" si="12"/>
        <v>0</v>
      </c>
      <c r="CO59" s="24">
        <f t="shared" si="37"/>
        <v>0</v>
      </c>
      <c r="CP59" s="24">
        <f t="shared" si="46"/>
        <v>0</v>
      </c>
      <c r="CQ59" s="24">
        <f t="shared" si="46"/>
        <v>0</v>
      </c>
      <c r="CR59" s="24">
        <f t="shared" si="46"/>
        <v>0</v>
      </c>
      <c r="CS59" s="24">
        <f t="shared" si="46"/>
        <v>0</v>
      </c>
      <c r="CT59" s="24">
        <f t="shared" si="46"/>
        <v>0</v>
      </c>
      <c r="CU59" s="24">
        <f t="shared" si="46"/>
        <v>0</v>
      </c>
      <c r="CV59" s="24">
        <f t="shared" si="63"/>
        <v>0</v>
      </c>
      <c r="CW59" s="24">
        <f t="shared" si="63"/>
        <v>0</v>
      </c>
      <c r="CX59" s="24">
        <f t="shared" si="64"/>
        <v>0</v>
      </c>
      <c r="CY59" s="24">
        <f t="shared" si="62"/>
        <v>0</v>
      </c>
      <c r="CZ59" s="24">
        <f t="shared" si="62"/>
        <v>0</v>
      </c>
      <c r="DA59" s="24">
        <f t="shared" si="62"/>
        <v>0</v>
      </c>
      <c r="DB59" s="24">
        <f t="shared" si="65"/>
        <v>0</v>
      </c>
      <c r="DC59" s="24">
        <f t="shared" si="65"/>
        <v>0</v>
      </c>
      <c r="DD59" s="24">
        <f t="shared" si="65"/>
        <v>0</v>
      </c>
      <c r="DE59" s="24"/>
      <c r="DF59" s="24">
        <f t="shared" si="66"/>
        <v>0</v>
      </c>
      <c r="DG59" s="24">
        <f t="shared" si="61"/>
        <v>0</v>
      </c>
      <c r="DH59" s="24">
        <f t="shared" si="67"/>
        <v>0</v>
      </c>
    </row>
    <row r="60" spans="1:113" s="43" customFormat="1" ht="18" customHeight="1" thickBot="1" x14ac:dyDescent="0.3">
      <c r="A60" s="59"/>
      <c r="B60" s="240" t="s">
        <v>182</v>
      </c>
      <c r="C60" s="240"/>
      <c r="D60" s="240"/>
      <c r="E60" s="240"/>
      <c r="F60" s="60"/>
      <c r="G60" s="61">
        <f t="shared" ref="G60:Z60" si="70">SUM(G21:G59)</f>
        <v>5991897445</v>
      </c>
      <c r="H60" s="61">
        <f t="shared" si="70"/>
        <v>0</v>
      </c>
      <c r="I60" s="61">
        <f t="shared" si="70"/>
        <v>2263096695</v>
      </c>
      <c r="J60" s="61">
        <f t="shared" si="70"/>
        <v>0</v>
      </c>
      <c r="K60" s="61">
        <f t="shared" si="70"/>
        <v>0</v>
      </c>
      <c r="L60" s="61">
        <f t="shared" si="70"/>
        <v>74368590</v>
      </c>
      <c r="M60" s="61">
        <f t="shared" si="70"/>
        <v>0</v>
      </c>
      <c r="N60" s="61">
        <f t="shared" si="70"/>
        <v>0</v>
      </c>
      <c r="O60" s="61">
        <f t="shared" si="70"/>
        <v>0</v>
      </c>
      <c r="P60" s="61">
        <f t="shared" si="70"/>
        <v>0</v>
      </c>
      <c r="Q60" s="61">
        <f t="shared" si="70"/>
        <v>0</v>
      </c>
      <c r="R60" s="61">
        <f t="shared" si="70"/>
        <v>1845604065</v>
      </c>
      <c r="S60" s="61">
        <f t="shared" si="70"/>
        <v>387696735</v>
      </c>
      <c r="T60" s="61">
        <f t="shared" si="70"/>
        <v>0</v>
      </c>
      <c r="U60" s="61">
        <f t="shared" si="70"/>
        <v>1054833768</v>
      </c>
      <c r="V60" s="61">
        <f t="shared" si="70"/>
        <v>0</v>
      </c>
      <c r="W60" s="61">
        <f t="shared" si="70"/>
        <v>51295383</v>
      </c>
      <c r="X60" s="61">
        <f t="shared" si="70"/>
        <v>0</v>
      </c>
      <c r="Y60" s="61">
        <f t="shared" si="70"/>
        <v>204741836</v>
      </c>
      <c r="Z60" s="61">
        <f t="shared" si="70"/>
        <v>110260373</v>
      </c>
      <c r="AA60" s="41">
        <f t="shared" si="1"/>
        <v>0.86657327159911024</v>
      </c>
      <c r="AB60" s="61">
        <f>SUM(AB21:AB59)</f>
        <v>5192418172</v>
      </c>
      <c r="AC60" s="61"/>
      <c r="AD60" s="61">
        <f t="shared" ref="AD60:AV60" si="71">SUM(AD21:AD59)</f>
        <v>0</v>
      </c>
      <c r="AE60" s="61">
        <f t="shared" si="71"/>
        <v>1885268117</v>
      </c>
      <c r="AF60" s="61">
        <f t="shared" si="71"/>
        <v>0</v>
      </c>
      <c r="AG60" s="61">
        <f t="shared" si="71"/>
        <v>0</v>
      </c>
      <c r="AH60" s="61">
        <f t="shared" si="71"/>
        <v>43061377</v>
      </c>
      <c r="AI60" s="61">
        <f t="shared" si="71"/>
        <v>0</v>
      </c>
      <c r="AJ60" s="61">
        <f t="shared" si="71"/>
        <v>0</v>
      </c>
      <c r="AK60" s="61">
        <f t="shared" si="71"/>
        <v>0</v>
      </c>
      <c r="AL60" s="61">
        <f t="shared" si="71"/>
        <v>0</v>
      </c>
      <c r="AM60" s="61">
        <f t="shared" si="71"/>
        <v>0</v>
      </c>
      <c r="AN60" s="61">
        <f t="shared" si="71"/>
        <v>1787879677</v>
      </c>
      <c r="AO60" s="61">
        <f t="shared" si="71"/>
        <v>319704306</v>
      </c>
      <c r="AP60" s="61">
        <f t="shared" si="71"/>
        <v>0</v>
      </c>
      <c r="AQ60" s="61">
        <f t="shared" si="71"/>
        <v>910591170</v>
      </c>
      <c r="AR60" s="61">
        <f t="shared" si="71"/>
        <v>0</v>
      </c>
      <c r="AS60" s="61">
        <f t="shared" si="71"/>
        <v>51295383</v>
      </c>
      <c r="AT60" s="61">
        <f t="shared" si="71"/>
        <v>0</v>
      </c>
      <c r="AU60" s="61">
        <f t="shared" si="71"/>
        <v>114321836</v>
      </c>
      <c r="AV60" s="61">
        <f t="shared" si="71"/>
        <v>80296306</v>
      </c>
      <c r="AW60" s="41">
        <f t="shared" si="3"/>
        <v>0.13342672840088976</v>
      </c>
      <c r="AX60" s="61">
        <f t="shared" ref="AX60:BQ60" si="72">SUM(AX21:AX59)</f>
        <v>799479273</v>
      </c>
      <c r="AY60" s="61">
        <f t="shared" si="72"/>
        <v>0</v>
      </c>
      <c r="AZ60" s="61">
        <f t="shared" si="72"/>
        <v>377828578</v>
      </c>
      <c r="BA60" s="61">
        <f t="shared" si="72"/>
        <v>0</v>
      </c>
      <c r="BB60" s="61">
        <f t="shared" si="72"/>
        <v>0</v>
      </c>
      <c r="BC60" s="61">
        <f t="shared" si="72"/>
        <v>31307213</v>
      </c>
      <c r="BD60" s="61">
        <f t="shared" si="72"/>
        <v>0</v>
      </c>
      <c r="BE60" s="61">
        <f t="shared" si="72"/>
        <v>0</v>
      </c>
      <c r="BF60" s="61">
        <f t="shared" si="72"/>
        <v>0</v>
      </c>
      <c r="BG60" s="61">
        <f t="shared" si="72"/>
        <v>0</v>
      </c>
      <c r="BH60" s="61">
        <f t="shared" si="72"/>
        <v>0</v>
      </c>
      <c r="BI60" s="61">
        <f t="shared" si="72"/>
        <v>57724388</v>
      </c>
      <c r="BJ60" s="61">
        <f t="shared" si="72"/>
        <v>67992429</v>
      </c>
      <c r="BK60" s="61">
        <f t="shared" si="72"/>
        <v>0</v>
      </c>
      <c r="BL60" s="61">
        <f t="shared" si="72"/>
        <v>144242598</v>
      </c>
      <c r="BM60" s="61">
        <f t="shared" si="72"/>
        <v>0</v>
      </c>
      <c r="BN60" s="61">
        <f t="shared" si="72"/>
        <v>0</v>
      </c>
      <c r="BO60" s="61">
        <f t="shared" si="72"/>
        <v>0</v>
      </c>
      <c r="BP60" s="61">
        <f t="shared" si="72"/>
        <v>90420000</v>
      </c>
      <c r="BQ60" s="61">
        <f t="shared" si="72"/>
        <v>29964067</v>
      </c>
      <c r="BR60" s="41">
        <f t="shared" si="10"/>
        <v>0.63125973662254498</v>
      </c>
      <c r="BS60" s="61">
        <f t="shared" ref="BS60:DH60" si="73">SUM(BS21:BS59)</f>
        <v>3782443603</v>
      </c>
      <c r="BT60" s="61">
        <f t="shared" si="73"/>
        <v>0</v>
      </c>
      <c r="BU60" s="61">
        <f t="shared" si="73"/>
        <v>0</v>
      </c>
      <c r="BV60" s="61">
        <f t="shared" si="73"/>
        <v>1276175353</v>
      </c>
      <c r="BW60" s="61">
        <f t="shared" si="73"/>
        <v>0</v>
      </c>
      <c r="BX60" s="61">
        <f t="shared" si="73"/>
        <v>0</v>
      </c>
      <c r="BY60" s="61">
        <f t="shared" si="73"/>
        <v>42967109</v>
      </c>
      <c r="BZ60" s="61">
        <f t="shared" si="73"/>
        <v>0</v>
      </c>
      <c r="CA60" s="61">
        <f t="shared" si="73"/>
        <v>0</v>
      </c>
      <c r="CB60" s="61">
        <f t="shared" si="73"/>
        <v>0</v>
      </c>
      <c r="CC60" s="61">
        <f t="shared" si="73"/>
        <v>0</v>
      </c>
      <c r="CD60" s="61">
        <f t="shared" si="73"/>
        <v>0</v>
      </c>
      <c r="CE60" s="61">
        <f t="shared" si="73"/>
        <v>1202759755</v>
      </c>
      <c r="CF60" s="61">
        <f t="shared" si="73"/>
        <v>305174306</v>
      </c>
      <c r="CG60" s="61">
        <f t="shared" si="73"/>
        <v>0</v>
      </c>
      <c r="CH60" s="61">
        <f t="shared" si="73"/>
        <v>845852866</v>
      </c>
      <c r="CI60" s="61">
        <f t="shared" si="73"/>
        <v>0</v>
      </c>
      <c r="CJ60" s="61">
        <f t="shared" si="73"/>
        <v>5867630</v>
      </c>
      <c r="CK60" s="61">
        <f t="shared" si="73"/>
        <v>0</v>
      </c>
      <c r="CL60" s="61">
        <f t="shared" si="73"/>
        <v>23350298</v>
      </c>
      <c r="CM60" s="61">
        <f t="shared" si="73"/>
        <v>80296286</v>
      </c>
      <c r="CN60" s="61" t="e">
        <f t="shared" si="73"/>
        <v>#DIV/0!</v>
      </c>
      <c r="CO60" s="61">
        <f t="shared" si="73"/>
        <v>2209453842</v>
      </c>
      <c r="CP60" s="61">
        <f t="shared" si="73"/>
        <v>0</v>
      </c>
      <c r="CQ60" s="61">
        <f t="shared" si="73"/>
        <v>986921342</v>
      </c>
      <c r="CR60" s="61">
        <f t="shared" si="73"/>
        <v>0</v>
      </c>
      <c r="CS60" s="61">
        <f t="shared" si="73"/>
        <v>0</v>
      </c>
      <c r="CT60" s="61">
        <f t="shared" si="73"/>
        <v>31401481</v>
      </c>
      <c r="CU60" s="61">
        <f t="shared" si="73"/>
        <v>0</v>
      </c>
      <c r="CV60" s="61">
        <f t="shared" si="73"/>
        <v>0</v>
      </c>
      <c r="CW60" s="61">
        <f t="shared" si="73"/>
        <v>0</v>
      </c>
      <c r="CX60" s="61">
        <f t="shared" si="73"/>
        <v>0</v>
      </c>
      <c r="CY60" s="61">
        <f t="shared" si="73"/>
        <v>0</v>
      </c>
      <c r="CZ60" s="61">
        <f t="shared" si="73"/>
        <v>642844310</v>
      </c>
      <c r="DA60" s="61">
        <f t="shared" si="73"/>
        <v>82522429</v>
      </c>
      <c r="DB60" s="61">
        <f t="shared" si="73"/>
        <v>0</v>
      </c>
      <c r="DC60" s="61">
        <f t="shared" si="73"/>
        <v>208980902</v>
      </c>
      <c r="DD60" s="61">
        <f t="shared" si="73"/>
        <v>0</v>
      </c>
      <c r="DE60" s="61">
        <f t="shared" si="73"/>
        <v>45427753</v>
      </c>
      <c r="DF60" s="61">
        <f t="shared" si="73"/>
        <v>0</v>
      </c>
      <c r="DG60" s="61">
        <f t="shared" si="73"/>
        <v>181391538</v>
      </c>
      <c r="DH60" s="62">
        <f t="shared" si="73"/>
        <v>29964087</v>
      </c>
    </row>
    <row r="61" spans="1:113" ht="55.5" customHeight="1" thickTop="1" x14ac:dyDescent="0.25">
      <c r="A61" s="228" t="s">
        <v>183</v>
      </c>
      <c r="B61" s="231" t="s">
        <v>184</v>
      </c>
      <c r="C61" s="20" t="s">
        <v>185</v>
      </c>
      <c r="D61" s="21" t="s">
        <v>186</v>
      </c>
      <c r="E61" s="22">
        <v>520</v>
      </c>
      <c r="F61" s="23" t="s">
        <v>187</v>
      </c>
      <c r="G61" s="24">
        <f t="shared" ref="G61:G92" si="74">SUM(H61:Z61)</f>
        <v>117258276</v>
      </c>
      <c r="H61" s="24"/>
      <c r="I61" s="24"/>
      <c r="J61" s="24"/>
      <c r="K61" s="24"/>
      <c r="L61" s="24">
        <f>50000000</f>
        <v>50000000</v>
      </c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>
        <f>50000000+8000000+1184357+4073919+4000000</f>
        <v>67258276</v>
      </c>
      <c r="AA61" s="25">
        <f t="shared" si="1"/>
        <v>0.89638145455933538</v>
      </c>
      <c r="AB61" s="24">
        <f>SUM(AC61:AV61)</f>
        <v>105108144</v>
      </c>
      <c r="AC61" s="24"/>
      <c r="AD61" s="24"/>
      <c r="AE61" s="24"/>
      <c r="AF61" s="24"/>
      <c r="AG61" s="24"/>
      <c r="AH61" s="24">
        <f>+'[1]SEPTIEMBRE 2016'!$P$2964</f>
        <v>49797725</v>
      </c>
      <c r="AI61" s="24"/>
      <c r="AJ61" s="24"/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>
        <f>+'[1]SEPTIEMBRE 2016'!$AG$2964</f>
        <v>55310419</v>
      </c>
      <c r="AW61" s="25">
        <f t="shared" si="3"/>
        <v>0.10361854544066462</v>
      </c>
      <c r="AX61" s="24">
        <f t="shared" ref="AX61:AX92" si="75">SUM(AY61:BQ61)</f>
        <v>12150132</v>
      </c>
      <c r="AY61" s="24">
        <f t="shared" ref="AY61:BM92" si="76">H61-AD61</f>
        <v>0</v>
      </c>
      <c r="AZ61" s="24">
        <f t="shared" si="76"/>
        <v>0</v>
      </c>
      <c r="BA61" s="24">
        <f t="shared" si="76"/>
        <v>0</v>
      </c>
      <c r="BB61" s="24">
        <f t="shared" ref="BB61:BM70" si="77">+K61-AG61</f>
        <v>0</v>
      </c>
      <c r="BC61" s="24">
        <f t="shared" si="77"/>
        <v>202275</v>
      </c>
      <c r="BD61" s="24">
        <f t="shared" si="77"/>
        <v>0</v>
      </c>
      <c r="BE61" s="24">
        <f t="shared" si="77"/>
        <v>0</v>
      </c>
      <c r="BF61" s="24">
        <f t="shared" si="77"/>
        <v>0</v>
      </c>
      <c r="BG61" s="24">
        <f t="shared" si="77"/>
        <v>0</v>
      </c>
      <c r="BH61" s="24">
        <f t="shared" si="77"/>
        <v>0</v>
      </c>
      <c r="BI61" s="24">
        <f t="shared" si="77"/>
        <v>0</v>
      </c>
      <c r="BJ61" s="24">
        <f t="shared" si="77"/>
        <v>0</v>
      </c>
      <c r="BK61" s="24">
        <f t="shared" si="77"/>
        <v>0</v>
      </c>
      <c r="BL61" s="24">
        <f t="shared" si="77"/>
        <v>0</v>
      </c>
      <c r="BM61" s="24">
        <f t="shared" si="77"/>
        <v>0</v>
      </c>
      <c r="BN61" s="24"/>
      <c r="BO61" s="24"/>
      <c r="BP61" s="24">
        <f t="shared" ref="BP61:BP92" si="78">Y61-AU61</f>
        <v>0</v>
      </c>
      <c r="BQ61" s="24">
        <f t="shared" ref="BQ61:BQ70" si="79">+Z61-AV61</f>
        <v>11947857</v>
      </c>
      <c r="BR61" s="25">
        <f t="shared" si="10"/>
        <v>0.89638145455933538</v>
      </c>
      <c r="BS61" s="24">
        <f t="shared" ref="BS61:BS92" si="80">SUM(BT61:CM61)</f>
        <v>105108144</v>
      </c>
      <c r="BT61" s="24"/>
      <c r="BU61" s="24"/>
      <c r="BV61" s="24"/>
      <c r="BW61" s="24"/>
      <c r="BX61" s="24"/>
      <c r="BY61" s="24">
        <f>+'[1]SEPTIEMBRE 2016'!$P$2964</f>
        <v>49797725</v>
      </c>
      <c r="BZ61" s="24"/>
      <c r="CA61" s="24"/>
      <c r="CB61" s="24"/>
      <c r="CC61" s="24"/>
      <c r="CD61" s="24"/>
      <c r="CE61" s="24"/>
      <c r="CF61" s="24"/>
      <c r="CG61" s="24"/>
      <c r="CH61" s="24"/>
      <c r="CI61" s="24"/>
      <c r="CJ61" s="24"/>
      <c r="CK61" s="24"/>
      <c r="CL61" s="24"/>
      <c r="CM61" s="24">
        <f>+'[1]SEPTIEMBRE 2016'!$AG$2964</f>
        <v>55310419</v>
      </c>
      <c r="CN61" s="25">
        <f t="shared" ref="CN61:CN93" si="81">1-BR61</f>
        <v>0.10361854544066462</v>
      </c>
      <c r="CO61" s="24">
        <f t="shared" ref="CO61:CO92" si="82">SUM(CP61:DH61)</f>
        <v>12150132</v>
      </c>
      <c r="CP61" s="24">
        <f t="shared" ref="CP61:CX76" si="83">H61-BU61</f>
        <v>0</v>
      </c>
      <c r="CQ61" s="24">
        <f t="shared" si="83"/>
        <v>0</v>
      </c>
      <c r="CR61" s="24">
        <f t="shared" si="83"/>
        <v>0</v>
      </c>
      <c r="CS61" s="24">
        <f t="shared" si="83"/>
        <v>0</v>
      </c>
      <c r="CT61" s="24">
        <f t="shared" si="83"/>
        <v>202275</v>
      </c>
      <c r="CU61" s="24">
        <f t="shared" si="83"/>
        <v>0</v>
      </c>
      <c r="CV61" s="24">
        <f t="shared" ref="CV61:CX70" si="84">+N61-CA61</f>
        <v>0</v>
      </c>
      <c r="CW61" s="24">
        <f t="shared" si="84"/>
        <v>0</v>
      </c>
      <c r="CX61" s="24">
        <f t="shared" si="84"/>
        <v>0</v>
      </c>
      <c r="CY61" s="24">
        <f t="shared" ref="CY61:DD91" si="85">Q61-CD61</f>
        <v>0</v>
      </c>
      <c r="CZ61" s="24">
        <f t="shared" si="85"/>
        <v>0</v>
      </c>
      <c r="DA61" s="24">
        <f t="shared" si="85"/>
        <v>0</v>
      </c>
      <c r="DB61" s="24">
        <f t="shared" ref="DB61:DD70" si="86">+T61-CG61</f>
        <v>0</v>
      </c>
      <c r="DC61" s="24">
        <f t="shared" si="86"/>
        <v>0</v>
      </c>
      <c r="DD61" s="24">
        <f t="shared" si="86"/>
        <v>0</v>
      </c>
      <c r="DE61" s="24"/>
      <c r="DF61" s="24">
        <f t="shared" ref="DF61:DH70" si="87">+X61-CK61</f>
        <v>0</v>
      </c>
      <c r="DG61" s="54">
        <f t="shared" si="87"/>
        <v>0</v>
      </c>
      <c r="DH61" s="24">
        <f t="shared" si="87"/>
        <v>11947857</v>
      </c>
    </row>
    <row r="62" spans="1:113" ht="35.25" customHeight="1" x14ac:dyDescent="0.25">
      <c r="A62" s="229"/>
      <c r="B62" s="232"/>
      <c r="C62" s="20" t="s">
        <v>188</v>
      </c>
      <c r="D62" s="21" t="s">
        <v>189</v>
      </c>
      <c r="E62" s="22">
        <v>520</v>
      </c>
      <c r="F62" s="23" t="s">
        <v>190</v>
      </c>
      <c r="G62" s="24">
        <f t="shared" si="74"/>
        <v>8000000</v>
      </c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>
        <f>2000000+2000000+4000000</f>
        <v>8000000</v>
      </c>
      <c r="AA62" s="25">
        <f t="shared" si="1"/>
        <v>0.19493750000000001</v>
      </c>
      <c r="AB62" s="24">
        <f t="shared" ref="AB62:AB92" si="88">SUM(AC62:AV62)</f>
        <v>1559500</v>
      </c>
      <c r="AC62" s="24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>
        <f>+'[1]SEPTIEMBRE 2016'!$G$3040</f>
        <v>1559500</v>
      </c>
      <c r="AW62" s="25">
        <f t="shared" si="3"/>
        <v>0.80506250000000001</v>
      </c>
      <c r="AX62" s="24">
        <f t="shared" si="75"/>
        <v>6440500</v>
      </c>
      <c r="AY62" s="24">
        <f t="shared" si="76"/>
        <v>0</v>
      </c>
      <c r="AZ62" s="24">
        <f t="shared" si="76"/>
        <v>0</v>
      </c>
      <c r="BA62" s="24">
        <f t="shared" si="76"/>
        <v>0</v>
      </c>
      <c r="BB62" s="24">
        <f t="shared" si="77"/>
        <v>0</v>
      </c>
      <c r="BC62" s="24">
        <f t="shared" si="77"/>
        <v>0</v>
      </c>
      <c r="BD62" s="24">
        <f t="shared" si="77"/>
        <v>0</v>
      </c>
      <c r="BE62" s="24">
        <f t="shared" si="77"/>
        <v>0</v>
      </c>
      <c r="BF62" s="24">
        <f t="shared" si="77"/>
        <v>0</v>
      </c>
      <c r="BG62" s="24">
        <f t="shared" si="77"/>
        <v>0</v>
      </c>
      <c r="BH62" s="24">
        <f t="shared" si="77"/>
        <v>0</v>
      </c>
      <c r="BI62" s="24">
        <f t="shared" si="77"/>
        <v>0</v>
      </c>
      <c r="BJ62" s="24">
        <f t="shared" si="77"/>
        <v>0</v>
      </c>
      <c r="BK62" s="24">
        <f t="shared" si="77"/>
        <v>0</v>
      </c>
      <c r="BL62" s="24">
        <f t="shared" si="77"/>
        <v>0</v>
      </c>
      <c r="BM62" s="24">
        <f t="shared" si="77"/>
        <v>0</v>
      </c>
      <c r="BN62" s="24"/>
      <c r="BO62" s="24"/>
      <c r="BP62" s="24">
        <f t="shared" si="78"/>
        <v>0</v>
      </c>
      <c r="BQ62" s="24">
        <f t="shared" si="79"/>
        <v>6440500</v>
      </c>
      <c r="BR62" s="25">
        <f t="shared" si="10"/>
        <v>0.19493750000000001</v>
      </c>
      <c r="BS62" s="24">
        <f t="shared" si="80"/>
        <v>1559500</v>
      </c>
      <c r="BT62" s="24"/>
      <c r="BU62" s="24"/>
      <c r="BV62" s="24"/>
      <c r="BW62" s="24"/>
      <c r="BX62" s="24"/>
      <c r="BY62" s="24"/>
      <c r="BZ62" s="24"/>
      <c r="CA62" s="24"/>
      <c r="CB62" s="24"/>
      <c r="CC62" s="24"/>
      <c r="CD62" s="24"/>
      <c r="CE62" s="24"/>
      <c r="CF62" s="24"/>
      <c r="CG62" s="24"/>
      <c r="CH62" s="24"/>
      <c r="CI62" s="24"/>
      <c r="CJ62" s="24"/>
      <c r="CK62" s="24"/>
      <c r="CL62" s="24"/>
      <c r="CM62" s="24">
        <f>+'[1]SEPTIEMBRE 2016'!$H$3040</f>
        <v>1559500</v>
      </c>
      <c r="CN62" s="25">
        <f t="shared" si="81"/>
        <v>0.80506250000000001</v>
      </c>
      <c r="CO62" s="24">
        <f t="shared" si="82"/>
        <v>6440500</v>
      </c>
      <c r="CP62" s="24">
        <f t="shared" si="83"/>
        <v>0</v>
      </c>
      <c r="CQ62" s="24">
        <f t="shared" si="83"/>
        <v>0</v>
      </c>
      <c r="CR62" s="24">
        <f t="shared" si="83"/>
        <v>0</v>
      </c>
      <c r="CS62" s="24">
        <f t="shared" si="83"/>
        <v>0</v>
      </c>
      <c r="CT62" s="24">
        <f t="shared" si="83"/>
        <v>0</v>
      </c>
      <c r="CU62" s="24">
        <f t="shared" si="83"/>
        <v>0</v>
      </c>
      <c r="CV62" s="24">
        <f t="shared" si="84"/>
        <v>0</v>
      </c>
      <c r="CW62" s="24">
        <f t="shared" si="84"/>
        <v>0</v>
      </c>
      <c r="CX62" s="24">
        <f t="shared" si="84"/>
        <v>0</v>
      </c>
      <c r="CY62" s="24">
        <f t="shared" si="85"/>
        <v>0</v>
      </c>
      <c r="CZ62" s="24">
        <f t="shared" si="85"/>
        <v>0</v>
      </c>
      <c r="DA62" s="24">
        <f t="shared" si="85"/>
        <v>0</v>
      </c>
      <c r="DB62" s="24">
        <f t="shared" si="86"/>
        <v>0</v>
      </c>
      <c r="DC62" s="24">
        <f t="shared" si="86"/>
        <v>0</v>
      </c>
      <c r="DD62" s="24">
        <f t="shared" si="86"/>
        <v>0</v>
      </c>
      <c r="DE62" s="24"/>
      <c r="DF62" s="24">
        <f t="shared" si="87"/>
        <v>0</v>
      </c>
      <c r="DG62" s="54">
        <f t="shared" si="87"/>
        <v>0</v>
      </c>
      <c r="DH62" s="24">
        <f t="shared" si="87"/>
        <v>6440500</v>
      </c>
    </row>
    <row r="63" spans="1:113" ht="36.75" customHeight="1" x14ac:dyDescent="0.25">
      <c r="A63" s="229"/>
      <c r="B63" s="233"/>
      <c r="C63" s="20" t="s">
        <v>191</v>
      </c>
      <c r="D63" s="21" t="s">
        <v>192</v>
      </c>
      <c r="E63" s="22">
        <v>520</v>
      </c>
      <c r="F63" s="23" t="s">
        <v>76</v>
      </c>
      <c r="G63" s="24">
        <f t="shared" si="74"/>
        <v>3000000</v>
      </c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>
        <v>3000000</v>
      </c>
      <c r="AA63" s="25">
        <f t="shared" si="1"/>
        <v>1</v>
      </c>
      <c r="AB63" s="24">
        <f t="shared" si="88"/>
        <v>3000000</v>
      </c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>
        <f>+'[6]JUNIO 2016'!$G$1784</f>
        <v>3000000</v>
      </c>
      <c r="AW63" s="25">
        <f t="shared" si="3"/>
        <v>0</v>
      </c>
      <c r="AX63" s="24">
        <f t="shared" si="75"/>
        <v>0</v>
      </c>
      <c r="AY63" s="24">
        <f t="shared" si="76"/>
        <v>0</v>
      </c>
      <c r="AZ63" s="24">
        <f t="shared" si="76"/>
        <v>0</v>
      </c>
      <c r="BA63" s="24">
        <f t="shared" si="76"/>
        <v>0</v>
      </c>
      <c r="BB63" s="24">
        <f t="shared" si="77"/>
        <v>0</v>
      </c>
      <c r="BC63" s="24">
        <f t="shared" si="77"/>
        <v>0</v>
      </c>
      <c r="BD63" s="24">
        <f t="shared" si="77"/>
        <v>0</v>
      </c>
      <c r="BE63" s="24">
        <f t="shared" si="77"/>
        <v>0</v>
      </c>
      <c r="BF63" s="24">
        <f t="shared" si="77"/>
        <v>0</v>
      </c>
      <c r="BG63" s="24">
        <f t="shared" si="77"/>
        <v>0</v>
      </c>
      <c r="BH63" s="24">
        <f t="shared" si="77"/>
        <v>0</v>
      </c>
      <c r="BI63" s="24">
        <f t="shared" si="77"/>
        <v>0</v>
      </c>
      <c r="BJ63" s="24">
        <f t="shared" si="77"/>
        <v>0</v>
      </c>
      <c r="BK63" s="24">
        <f t="shared" si="77"/>
        <v>0</v>
      </c>
      <c r="BL63" s="24">
        <f t="shared" si="77"/>
        <v>0</v>
      </c>
      <c r="BM63" s="24">
        <f t="shared" si="77"/>
        <v>0</v>
      </c>
      <c r="BN63" s="24"/>
      <c r="BO63" s="24"/>
      <c r="BP63" s="24">
        <f t="shared" si="78"/>
        <v>0</v>
      </c>
      <c r="BQ63" s="24">
        <f t="shared" si="79"/>
        <v>0</v>
      </c>
      <c r="BR63" s="25">
        <f t="shared" si="10"/>
        <v>1</v>
      </c>
      <c r="BS63" s="24">
        <f t="shared" si="80"/>
        <v>3000000</v>
      </c>
      <c r="BT63" s="24"/>
      <c r="BU63" s="24"/>
      <c r="BV63" s="24"/>
      <c r="BW63" s="24"/>
      <c r="BX63" s="24"/>
      <c r="BY63" s="24"/>
      <c r="BZ63" s="24"/>
      <c r="CA63" s="24"/>
      <c r="CB63" s="24"/>
      <c r="CC63" s="24"/>
      <c r="CD63" s="24"/>
      <c r="CE63" s="24"/>
      <c r="CF63" s="24"/>
      <c r="CG63" s="24"/>
      <c r="CH63" s="24"/>
      <c r="CI63" s="24"/>
      <c r="CJ63" s="24"/>
      <c r="CK63" s="24"/>
      <c r="CL63" s="24"/>
      <c r="CM63" s="24">
        <f>+'[6]JUNIO 2016'!$H$1784</f>
        <v>3000000</v>
      </c>
      <c r="CN63" s="25">
        <f t="shared" si="81"/>
        <v>0</v>
      </c>
      <c r="CO63" s="24">
        <f t="shared" si="82"/>
        <v>0</v>
      </c>
      <c r="CP63" s="24">
        <f t="shared" si="83"/>
        <v>0</v>
      </c>
      <c r="CQ63" s="24">
        <f t="shared" si="83"/>
        <v>0</v>
      </c>
      <c r="CR63" s="24">
        <f t="shared" si="83"/>
        <v>0</v>
      </c>
      <c r="CS63" s="24">
        <f t="shared" si="83"/>
        <v>0</v>
      </c>
      <c r="CT63" s="24">
        <f t="shared" si="83"/>
        <v>0</v>
      </c>
      <c r="CU63" s="24">
        <f t="shared" si="83"/>
        <v>0</v>
      </c>
      <c r="CV63" s="24">
        <f t="shared" si="84"/>
        <v>0</v>
      </c>
      <c r="CW63" s="24">
        <f t="shared" si="84"/>
        <v>0</v>
      </c>
      <c r="CX63" s="24">
        <f t="shared" si="84"/>
        <v>0</v>
      </c>
      <c r="CY63" s="24">
        <f t="shared" si="85"/>
        <v>0</v>
      </c>
      <c r="CZ63" s="24">
        <f t="shared" si="85"/>
        <v>0</v>
      </c>
      <c r="DA63" s="24">
        <f t="shared" si="85"/>
        <v>0</v>
      </c>
      <c r="DB63" s="24">
        <f t="shared" si="86"/>
        <v>0</v>
      </c>
      <c r="DC63" s="24">
        <f t="shared" si="86"/>
        <v>0</v>
      </c>
      <c r="DD63" s="24">
        <f t="shared" si="86"/>
        <v>0</v>
      </c>
      <c r="DE63" s="24"/>
      <c r="DF63" s="24">
        <f t="shared" si="87"/>
        <v>0</v>
      </c>
      <c r="DG63" s="54">
        <f t="shared" si="87"/>
        <v>0</v>
      </c>
      <c r="DH63" s="24">
        <f t="shared" si="87"/>
        <v>0</v>
      </c>
    </row>
    <row r="64" spans="1:113" ht="34.5" customHeight="1" x14ac:dyDescent="0.25">
      <c r="A64" s="229"/>
      <c r="B64" s="63" t="s">
        <v>193</v>
      </c>
      <c r="C64" s="20" t="s">
        <v>194</v>
      </c>
      <c r="D64" s="21" t="s">
        <v>195</v>
      </c>
      <c r="E64" s="22">
        <v>520</v>
      </c>
      <c r="F64" s="23" t="s">
        <v>91</v>
      </c>
      <c r="G64" s="24">
        <f t="shared" si="74"/>
        <v>20000000</v>
      </c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>
        <v>20000000</v>
      </c>
      <c r="T64" s="24"/>
      <c r="U64" s="24"/>
      <c r="V64" s="24"/>
      <c r="W64" s="24"/>
      <c r="X64" s="24"/>
      <c r="Y64" s="24"/>
      <c r="Z64" s="24"/>
      <c r="AA64" s="25">
        <f t="shared" si="1"/>
        <v>0.84690584999999996</v>
      </c>
      <c r="AB64" s="24">
        <f t="shared" si="88"/>
        <v>16938117</v>
      </c>
      <c r="AC64" s="24"/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4"/>
      <c r="AO64" s="24">
        <f>+'[1]SEPTIEMBRE 2016'!$W$3060</f>
        <v>16938117</v>
      </c>
      <c r="AP64" s="24"/>
      <c r="AQ64" s="24"/>
      <c r="AR64" s="24"/>
      <c r="AS64" s="24"/>
      <c r="AT64" s="24"/>
      <c r="AU64" s="24"/>
      <c r="AV64" s="24"/>
      <c r="AW64" s="25">
        <f t="shared" si="3"/>
        <v>0.15309415000000004</v>
      </c>
      <c r="AX64" s="24">
        <f t="shared" si="75"/>
        <v>3061883</v>
      </c>
      <c r="AY64" s="24">
        <f t="shared" si="76"/>
        <v>0</v>
      </c>
      <c r="AZ64" s="24">
        <f t="shared" si="76"/>
        <v>0</v>
      </c>
      <c r="BA64" s="24">
        <f t="shared" si="76"/>
        <v>0</v>
      </c>
      <c r="BB64" s="24">
        <f t="shared" si="77"/>
        <v>0</v>
      </c>
      <c r="BC64" s="24">
        <f t="shared" si="77"/>
        <v>0</v>
      </c>
      <c r="BD64" s="24">
        <f t="shared" si="77"/>
        <v>0</v>
      </c>
      <c r="BE64" s="24">
        <f t="shared" si="77"/>
        <v>0</v>
      </c>
      <c r="BF64" s="24">
        <f t="shared" si="77"/>
        <v>0</v>
      </c>
      <c r="BG64" s="24">
        <f t="shared" si="77"/>
        <v>0</v>
      </c>
      <c r="BH64" s="24">
        <f t="shared" si="77"/>
        <v>0</v>
      </c>
      <c r="BI64" s="24">
        <f t="shared" si="77"/>
        <v>0</v>
      </c>
      <c r="BJ64" s="24">
        <f t="shared" si="77"/>
        <v>3061883</v>
      </c>
      <c r="BK64" s="24">
        <f t="shared" si="77"/>
        <v>0</v>
      </c>
      <c r="BL64" s="24">
        <f t="shared" si="77"/>
        <v>0</v>
      </c>
      <c r="BM64" s="24">
        <f t="shared" si="77"/>
        <v>0</v>
      </c>
      <c r="BN64" s="24"/>
      <c r="BO64" s="24">
        <f>+X64-AT64</f>
        <v>0</v>
      </c>
      <c r="BP64" s="24">
        <f t="shared" si="78"/>
        <v>0</v>
      </c>
      <c r="BQ64" s="24">
        <f t="shared" si="79"/>
        <v>0</v>
      </c>
      <c r="BR64" s="25">
        <f t="shared" si="10"/>
        <v>0.8357021</v>
      </c>
      <c r="BS64" s="24">
        <f t="shared" si="80"/>
        <v>16714042</v>
      </c>
      <c r="BT64" s="24"/>
      <c r="BU64" s="24"/>
      <c r="BV64" s="24"/>
      <c r="BW64" s="24"/>
      <c r="BX64" s="24"/>
      <c r="BY64" s="24"/>
      <c r="BZ64" s="24"/>
      <c r="CA64" s="24"/>
      <c r="CB64" s="24"/>
      <c r="CC64" s="24"/>
      <c r="CD64" s="24"/>
      <c r="CE64" s="24"/>
      <c r="CF64" s="24">
        <f>+'[1]SEPTIEMBRE 2016'!$H$3058</f>
        <v>16714042</v>
      </c>
      <c r="CG64" s="24"/>
      <c r="CH64" s="24"/>
      <c r="CI64" s="24"/>
      <c r="CJ64" s="24"/>
      <c r="CK64" s="24"/>
      <c r="CL64" s="24"/>
      <c r="CM64" s="24"/>
      <c r="CN64" s="25">
        <f t="shared" si="81"/>
        <v>0.1642979</v>
      </c>
      <c r="CO64" s="24">
        <f t="shared" si="82"/>
        <v>3285958</v>
      </c>
      <c r="CP64" s="24">
        <f t="shared" si="83"/>
        <v>0</v>
      </c>
      <c r="CQ64" s="24">
        <f t="shared" si="83"/>
        <v>0</v>
      </c>
      <c r="CR64" s="24">
        <f t="shared" si="83"/>
        <v>0</v>
      </c>
      <c r="CS64" s="24">
        <f t="shared" si="83"/>
        <v>0</v>
      </c>
      <c r="CT64" s="24">
        <f t="shared" si="83"/>
        <v>0</v>
      </c>
      <c r="CU64" s="24">
        <f t="shared" si="83"/>
        <v>0</v>
      </c>
      <c r="CV64" s="24">
        <f t="shared" si="84"/>
        <v>0</v>
      </c>
      <c r="CW64" s="24">
        <f t="shared" si="84"/>
        <v>0</v>
      </c>
      <c r="CX64" s="24">
        <f t="shared" si="84"/>
        <v>0</v>
      </c>
      <c r="CY64" s="24">
        <f t="shared" si="85"/>
        <v>0</v>
      </c>
      <c r="CZ64" s="24">
        <f t="shared" si="85"/>
        <v>0</v>
      </c>
      <c r="DA64" s="24">
        <f t="shared" si="85"/>
        <v>3285958</v>
      </c>
      <c r="DB64" s="24">
        <f t="shared" si="86"/>
        <v>0</v>
      </c>
      <c r="DC64" s="24">
        <f t="shared" si="86"/>
        <v>0</v>
      </c>
      <c r="DD64" s="24">
        <f t="shared" si="86"/>
        <v>0</v>
      </c>
      <c r="DE64" s="24"/>
      <c r="DF64" s="24">
        <f t="shared" si="87"/>
        <v>0</v>
      </c>
      <c r="DG64" s="54">
        <f t="shared" si="87"/>
        <v>0</v>
      </c>
      <c r="DH64" s="24">
        <f t="shared" si="87"/>
        <v>0</v>
      </c>
    </row>
    <row r="65" spans="1:112" ht="36.75" customHeight="1" x14ac:dyDescent="0.25">
      <c r="A65" s="229"/>
      <c r="B65" s="231" t="s">
        <v>196</v>
      </c>
      <c r="C65" s="20" t="s">
        <v>197</v>
      </c>
      <c r="D65" s="21" t="s">
        <v>198</v>
      </c>
      <c r="E65" s="22">
        <v>520</v>
      </c>
      <c r="F65" s="23" t="s">
        <v>91</v>
      </c>
      <c r="G65" s="24">
        <f t="shared" si="74"/>
        <v>115000000</v>
      </c>
      <c r="H65" s="33"/>
      <c r="I65" s="33"/>
      <c r="J65" s="33"/>
      <c r="K65" s="24">
        <f>228450721-133450721</f>
        <v>95000000</v>
      </c>
      <c r="L65" s="24"/>
      <c r="M65" s="24"/>
      <c r="N65" s="24"/>
      <c r="O65" s="24"/>
      <c r="P65" s="24"/>
      <c r="Q65" s="24"/>
      <c r="R65" s="24"/>
      <c r="S65" s="24">
        <f>20000000</f>
        <v>20000000</v>
      </c>
      <c r="T65" s="24"/>
      <c r="U65" s="24"/>
      <c r="V65" s="24"/>
      <c r="W65" s="24"/>
      <c r="X65" s="24"/>
      <c r="Y65" s="24"/>
      <c r="Z65" s="24"/>
      <c r="AA65" s="25">
        <f t="shared" si="1"/>
        <v>0.57434843478260866</v>
      </c>
      <c r="AB65" s="24">
        <f t="shared" si="88"/>
        <v>66050070</v>
      </c>
      <c r="AC65" s="24"/>
      <c r="AD65" s="24"/>
      <c r="AE65" s="24"/>
      <c r="AF65" s="24"/>
      <c r="AG65" s="24">
        <f>+'[1]SEPTIEMBRE 2016'!$O$3089</f>
        <v>48608440</v>
      </c>
      <c r="AH65" s="24"/>
      <c r="AI65" s="24"/>
      <c r="AJ65" s="24"/>
      <c r="AK65" s="24"/>
      <c r="AL65" s="24"/>
      <c r="AM65" s="24"/>
      <c r="AN65" s="24"/>
      <c r="AO65" s="24">
        <f>+'[1]SEPTIEMBRE 2016'!$W$3089</f>
        <v>17441630</v>
      </c>
      <c r="AP65" s="24"/>
      <c r="AQ65" s="24"/>
      <c r="AR65" s="24"/>
      <c r="AS65" s="24"/>
      <c r="AT65" s="24"/>
      <c r="AU65" s="24"/>
      <c r="AV65" s="24"/>
      <c r="AW65" s="25">
        <f t="shared" si="3"/>
        <v>0.42565156521739134</v>
      </c>
      <c r="AX65" s="24">
        <f t="shared" si="75"/>
        <v>48949930</v>
      </c>
      <c r="AY65" s="24">
        <f t="shared" si="76"/>
        <v>0</v>
      </c>
      <c r="AZ65" s="24">
        <f t="shared" si="76"/>
        <v>0</v>
      </c>
      <c r="BA65" s="24">
        <f t="shared" si="76"/>
        <v>0</v>
      </c>
      <c r="BB65" s="24">
        <f t="shared" si="77"/>
        <v>46391560</v>
      </c>
      <c r="BC65" s="24">
        <f t="shared" si="77"/>
        <v>0</v>
      </c>
      <c r="BD65" s="24">
        <f t="shared" si="77"/>
        <v>0</v>
      </c>
      <c r="BE65" s="24">
        <f>N65-AJ65</f>
        <v>0</v>
      </c>
      <c r="BF65" s="24">
        <f t="shared" si="77"/>
        <v>0</v>
      </c>
      <c r="BG65" s="24">
        <f t="shared" si="77"/>
        <v>0</v>
      </c>
      <c r="BH65" s="24">
        <f t="shared" si="77"/>
        <v>0</v>
      </c>
      <c r="BI65" s="24">
        <f t="shared" si="77"/>
        <v>0</v>
      </c>
      <c r="BJ65" s="24">
        <f t="shared" si="77"/>
        <v>2558370</v>
      </c>
      <c r="BK65" s="24">
        <f>T65-AP65</f>
        <v>0</v>
      </c>
      <c r="BL65" s="24">
        <f t="shared" si="77"/>
        <v>0</v>
      </c>
      <c r="BM65" s="24">
        <f t="shared" si="77"/>
        <v>0</v>
      </c>
      <c r="BN65" s="24"/>
      <c r="BO65" s="24"/>
      <c r="BP65" s="24">
        <f t="shared" si="78"/>
        <v>0</v>
      </c>
      <c r="BQ65" s="24">
        <f t="shared" si="79"/>
        <v>0</v>
      </c>
      <c r="BR65" s="25">
        <f t="shared" si="10"/>
        <v>0.57153591304347828</v>
      </c>
      <c r="BS65" s="24">
        <f t="shared" si="80"/>
        <v>65726630</v>
      </c>
      <c r="BT65" s="24"/>
      <c r="BU65" s="24"/>
      <c r="BV65" s="24"/>
      <c r="BW65" s="24"/>
      <c r="BX65" s="24">
        <f>+'[1]SEPTIEMBRE 2016'!$H$3090+'[1]SEPTIEMBRE 2016'!$H$3093+'[1]SEPTIEMBRE 2016'!$H$3095+'[1]SEPTIEMBRE 2016'!$H$3100</f>
        <v>48285000</v>
      </c>
      <c r="BY65" s="24"/>
      <c r="BZ65" s="24"/>
      <c r="CA65" s="24"/>
      <c r="CB65" s="24"/>
      <c r="CC65" s="24"/>
      <c r="CD65" s="24"/>
      <c r="CE65" s="24"/>
      <c r="CF65" s="24">
        <f>+'[1]SEPTIEMBRE 2016'!$H$3087-BX65</f>
        <v>17441630</v>
      </c>
      <c r="CG65" s="24"/>
      <c r="CH65" s="24"/>
      <c r="CI65" s="24"/>
      <c r="CJ65" s="24"/>
      <c r="CK65" s="24"/>
      <c r="CL65" s="24"/>
      <c r="CM65" s="24"/>
      <c r="CN65" s="25">
        <f t="shared" si="81"/>
        <v>0.42846408695652172</v>
      </c>
      <c r="CO65" s="24">
        <f t="shared" si="82"/>
        <v>49273370</v>
      </c>
      <c r="CP65" s="24">
        <f t="shared" si="83"/>
        <v>0</v>
      </c>
      <c r="CQ65" s="24">
        <f t="shared" si="83"/>
        <v>0</v>
      </c>
      <c r="CR65" s="24">
        <f t="shared" si="83"/>
        <v>0</v>
      </c>
      <c r="CS65" s="24">
        <f t="shared" si="83"/>
        <v>46715000</v>
      </c>
      <c r="CT65" s="24">
        <f t="shared" si="83"/>
        <v>0</v>
      </c>
      <c r="CU65" s="24">
        <f t="shared" si="83"/>
        <v>0</v>
      </c>
      <c r="CV65" s="24">
        <f t="shared" si="84"/>
        <v>0</v>
      </c>
      <c r="CW65" s="24">
        <f t="shared" si="84"/>
        <v>0</v>
      </c>
      <c r="CX65" s="24">
        <f t="shared" si="84"/>
        <v>0</v>
      </c>
      <c r="CY65" s="24">
        <f t="shared" si="85"/>
        <v>0</v>
      </c>
      <c r="CZ65" s="24">
        <f t="shared" si="85"/>
        <v>0</v>
      </c>
      <c r="DA65" s="24">
        <f t="shared" si="85"/>
        <v>2558370</v>
      </c>
      <c r="DB65" s="24">
        <f t="shared" si="86"/>
        <v>0</v>
      </c>
      <c r="DC65" s="24">
        <f t="shared" si="86"/>
        <v>0</v>
      </c>
      <c r="DD65" s="24">
        <f t="shared" si="86"/>
        <v>0</v>
      </c>
      <c r="DE65" s="24"/>
      <c r="DF65" s="24">
        <f t="shared" si="87"/>
        <v>0</v>
      </c>
      <c r="DG65" s="54">
        <f t="shared" si="87"/>
        <v>0</v>
      </c>
      <c r="DH65" s="24">
        <f t="shared" si="87"/>
        <v>0</v>
      </c>
    </row>
    <row r="66" spans="1:112" ht="33.75" customHeight="1" x14ac:dyDescent="0.25">
      <c r="A66" s="229"/>
      <c r="B66" s="232"/>
      <c r="C66" s="20" t="s">
        <v>199</v>
      </c>
      <c r="D66" s="21" t="s">
        <v>200</v>
      </c>
      <c r="E66" s="22">
        <v>520</v>
      </c>
      <c r="F66" s="23" t="s">
        <v>91</v>
      </c>
      <c r="G66" s="24">
        <f t="shared" si="74"/>
        <v>405901442</v>
      </c>
      <c r="H66" s="45"/>
      <c r="I66" s="33"/>
      <c r="J66" s="33"/>
      <c r="K66" s="24">
        <f>28450721+133450721</f>
        <v>161901442</v>
      </c>
      <c r="L66" s="24"/>
      <c r="M66" s="24"/>
      <c r="N66" s="24"/>
      <c r="O66" s="24"/>
      <c r="P66" s="24"/>
      <c r="Q66" s="24"/>
      <c r="R66" s="24">
        <f>200000000+44000000</f>
        <v>244000000</v>
      </c>
      <c r="S66" s="24"/>
      <c r="T66" s="24"/>
      <c r="U66" s="24"/>
      <c r="V66" s="24"/>
      <c r="W66" s="24"/>
      <c r="X66" s="24"/>
      <c r="Y66" s="24"/>
      <c r="Z66" s="24"/>
      <c r="AA66" s="25">
        <f t="shared" si="1"/>
        <v>0.7618858373013615</v>
      </c>
      <c r="AB66" s="24">
        <f t="shared" si="88"/>
        <v>309250560</v>
      </c>
      <c r="AC66" s="24"/>
      <c r="AD66" s="24"/>
      <c r="AE66" s="24"/>
      <c r="AF66" s="24"/>
      <c r="AG66" s="24">
        <f>+'[1]SEPTIEMBRE 2016'!$O$3105</f>
        <v>122148569</v>
      </c>
      <c r="AH66" s="24"/>
      <c r="AI66" s="24"/>
      <c r="AJ66" s="24"/>
      <c r="AK66" s="24"/>
      <c r="AL66" s="24"/>
      <c r="AM66" s="24"/>
      <c r="AN66" s="24">
        <f>+'[4]AGOSTO 2016'!$V$2654</f>
        <v>187101991</v>
      </c>
      <c r="AO66" s="24"/>
      <c r="AP66" s="24"/>
      <c r="AQ66" s="24"/>
      <c r="AR66" s="24"/>
      <c r="AS66" s="24"/>
      <c r="AT66" s="24"/>
      <c r="AU66" s="24"/>
      <c r="AV66" s="24"/>
      <c r="AW66" s="25">
        <f t="shared" si="3"/>
        <v>0.2381141626986385</v>
      </c>
      <c r="AX66" s="24">
        <f t="shared" si="75"/>
        <v>96650882</v>
      </c>
      <c r="AY66" s="24">
        <f t="shared" si="76"/>
        <v>0</v>
      </c>
      <c r="AZ66" s="24">
        <f t="shared" si="76"/>
        <v>0</v>
      </c>
      <c r="BA66" s="24">
        <f t="shared" si="76"/>
        <v>0</v>
      </c>
      <c r="BB66" s="24">
        <f t="shared" si="77"/>
        <v>39752873</v>
      </c>
      <c r="BC66" s="24">
        <f t="shared" si="77"/>
        <v>0</v>
      </c>
      <c r="BD66" s="24">
        <f t="shared" si="77"/>
        <v>0</v>
      </c>
      <c r="BE66" s="24">
        <f>N66-AJ66</f>
        <v>0</v>
      </c>
      <c r="BF66" s="24">
        <f t="shared" si="77"/>
        <v>0</v>
      </c>
      <c r="BG66" s="24">
        <f t="shared" si="77"/>
        <v>0</v>
      </c>
      <c r="BH66" s="24">
        <f t="shared" si="77"/>
        <v>0</v>
      </c>
      <c r="BI66" s="24">
        <f t="shared" si="77"/>
        <v>56898009</v>
      </c>
      <c r="BJ66" s="24">
        <f t="shared" si="77"/>
        <v>0</v>
      </c>
      <c r="BK66" s="24">
        <f>T66-AP66</f>
        <v>0</v>
      </c>
      <c r="BL66" s="24">
        <f t="shared" si="77"/>
        <v>0</v>
      </c>
      <c r="BM66" s="24">
        <f t="shared" si="77"/>
        <v>0</v>
      </c>
      <c r="BN66" s="24"/>
      <c r="BO66" s="24"/>
      <c r="BP66" s="24">
        <f t="shared" si="78"/>
        <v>0</v>
      </c>
      <c r="BQ66" s="24">
        <f t="shared" si="79"/>
        <v>0</v>
      </c>
      <c r="BR66" s="25">
        <f t="shared" si="10"/>
        <v>0.75357296710465982</v>
      </c>
      <c r="BS66" s="24">
        <f t="shared" si="80"/>
        <v>305876354</v>
      </c>
      <c r="BT66" s="24"/>
      <c r="BU66" s="24"/>
      <c r="BV66" s="24"/>
      <c r="BW66" s="24"/>
      <c r="BX66" s="24">
        <f>+'[1]SEPTIEMBRE 2016'!$H$3106+'[1]SEPTIEMBRE 2016'!$H$3137+'[1]SEPTIEMBRE 2016'!$H$3139+'[1]SEPTIEMBRE 2016'!$H$3140+'[1]SEPTIEMBRE 2016'!$H$3141+'[1]SEPTIEMBRE 2016'!$H$3142+'[1]SEPTIEMBRE 2016'!$H$3143+'[1]SEPTIEMBRE 2016'!$H$3146+'[1]SEPTIEMBRE 2016'!$H$3147+'[1]SEPTIEMBRE 2016'!$H$3148+'[1]SEPTIEMBRE 2016'!$H$3149+'[1]SEPTIEMBRE 2016'!$H$3150+'[1]SEPTIEMBRE 2016'!$H$3151+'[1]SEPTIEMBRE 2016'!$H$3152+'[1]SEPTIEMBRE 2016'!$H$3154+'[1]SEPTIEMBRE 2016'!$H$3159+'[1]SEPTIEMBRE 2016'!$H$3160+'[1]SEPTIEMBRE 2016'!$H$3161+'[1]SEPTIEMBRE 2016'!$H$3185+'[1]SEPTIEMBRE 2016'!$H$3186+'[1]SEPTIEMBRE 2016'!$H$3188+'[1]SEPTIEMBRE 2016'!$H$3189+'[1]SEPTIEMBRE 2016'!$H$3190+'[1]SEPTIEMBRE 2016'!$H$3191+'[1]SEPTIEMBRE 2016'!$H$3192+'[1]SEPTIEMBRE 2016'!$H$3193+'[1]SEPTIEMBRE 2016'!$H$3194+'[1]SEPTIEMBRE 2016'!$H$3195+'[1]SEPTIEMBRE 2016'!$H$3198+'[1]SEPTIEMBRE 2016'!$H$3199+'[1]SEPTIEMBRE 2016'!$H$3200+'[1]SEPTIEMBRE 2016'!$H$3214+'[1]SEPTIEMBRE 2016'!$H$3215+'[1]SEPTIEMBRE 2016'!$H$3216+'[1]SEPTIEMBRE 2016'!$H$3218+'[1]SEPTIEMBRE 2016'!$H$3221+'[1]SEPTIEMBRE 2016'!$H$3222+'[1]SEPTIEMBRE 2016'!$H$3223+'[1]SEPTIEMBRE 2016'!$H$3224+'[1]SEPTIEMBRE 2016'!$H$3225+'[1]SEPTIEMBRE 2016'!$H$3226+'[1]SEPTIEMBRE 2016'!$H$3227+'[1]SEPTIEMBRE 2016'!$H$3228+'[1]SEPTIEMBRE 2016'!$H$3229+'[1]SEPTIEMBRE 2016'!$H$3230</f>
        <v>120500740</v>
      </c>
      <c r="BY66" s="24"/>
      <c r="BZ66" s="24"/>
      <c r="CA66" s="24"/>
      <c r="CB66" s="24"/>
      <c r="CC66" s="24"/>
      <c r="CD66" s="24"/>
      <c r="CE66" s="24">
        <f>+'[1]SEPTIEMBRE 2016'!$H$3103-BX66</f>
        <v>185375614</v>
      </c>
      <c r="CF66" s="24"/>
      <c r="CG66" s="24"/>
      <c r="CH66" s="24"/>
      <c r="CI66" s="24"/>
      <c r="CJ66" s="24"/>
      <c r="CK66" s="24"/>
      <c r="CL66" s="24"/>
      <c r="CM66" s="24"/>
      <c r="CN66" s="25">
        <f t="shared" si="81"/>
        <v>0.24642703289534018</v>
      </c>
      <c r="CO66" s="24">
        <f t="shared" si="82"/>
        <v>100025088</v>
      </c>
      <c r="CP66" s="24">
        <f t="shared" si="83"/>
        <v>0</v>
      </c>
      <c r="CQ66" s="24">
        <f t="shared" si="83"/>
        <v>0</v>
      </c>
      <c r="CR66" s="24">
        <f t="shared" si="83"/>
        <v>0</v>
      </c>
      <c r="CS66" s="24">
        <f t="shared" si="83"/>
        <v>41400702</v>
      </c>
      <c r="CT66" s="24">
        <f t="shared" si="83"/>
        <v>0</v>
      </c>
      <c r="CU66" s="24">
        <f t="shared" si="83"/>
        <v>0</v>
      </c>
      <c r="CV66" s="24">
        <f t="shared" si="84"/>
        <v>0</v>
      </c>
      <c r="CW66" s="24">
        <f t="shared" si="84"/>
        <v>0</v>
      </c>
      <c r="CX66" s="24">
        <f t="shared" si="84"/>
        <v>0</v>
      </c>
      <c r="CY66" s="24">
        <f t="shared" si="85"/>
        <v>0</v>
      </c>
      <c r="CZ66" s="24">
        <f t="shared" si="85"/>
        <v>58624386</v>
      </c>
      <c r="DA66" s="24">
        <f t="shared" si="85"/>
        <v>0</v>
      </c>
      <c r="DB66" s="24">
        <f t="shared" si="86"/>
        <v>0</v>
      </c>
      <c r="DC66" s="24">
        <f t="shared" si="86"/>
        <v>0</v>
      </c>
      <c r="DD66" s="24">
        <f t="shared" si="86"/>
        <v>0</v>
      </c>
      <c r="DE66" s="24"/>
      <c r="DF66" s="24">
        <f t="shared" si="87"/>
        <v>0</v>
      </c>
      <c r="DG66" s="54">
        <f t="shared" si="87"/>
        <v>0</v>
      </c>
      <c r="DH66" s="24">
        <f t="shared" si="87"/>
        <v>0</v>
      </c>
    </row>
    <row r="67" spans="1:112" ht="30.75" customHeight="1" x14ac:dyDescent="0.25">
      <c r="A67" s="229"/>
      <c r="B67" s="232"/>
      <c r="C67" s="20" t="s">
        <v>201</v>
      </c>
      <c r="D67" s="21" t="s">
        <v>202</v>
      </c>
      <c r="E67" s="22">
        <v>520</v>
      </c>
      <c r="F67" s="23" t="s">
        <v>203</v>
      </c>
      <c r="G67" s="24">
        <f t="shared" si="74"/>
        <v>11000000</v>
      </c>
      <c r="H67" s="33"/>
      <c r="I67" s="33"/>
      <c r="J67" s="33"/>
      <c r="K67" s="33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>
        <f>8000000+3000000</f>
        <v>11000000</v>
      </c>
      <c r="AA67" s="25">
        <f t="shared" si="1"/>
        <v>0.72727272727272729</v>
      </c>
      <c r="AB67" s="24">
        <f t="shared" si="88"/>
        <v>8000000</v>
      </c>
      <c r="AC67" s="24"/>
      <c r="AD67" s="24"/>
      <c r="AE67" s="24"/>
      <c r="AF67" s="24"/>
      <c r="AG67" s="24"/>
      <c r="AH67" s="24"/>
      <c r="AI67" s="24"/>
      <c r="AJ67" s="24"/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>
        <f>+'[6]JUNIO 2016'!$AG$1918</f>
        <v>8000000</v>
      </c>
      <c r="AW67" s="25">
        <f t="shared" si="3"/>
        <v>0.27272727272727271</v>
      </c>
      <c r="AX67" s="24">
        <f t="shared" si="75"/>
        <v>3000000</v>
      </c>
      <c r="AY67" s="24">
        <f t="shared" si="76"/>
        <v>0</v>
      </c>
      <c r="AZ67" s="24">
        <f t="shared" si="76"/>
        <v>0</v>
      </c>
      <c r="BA67" s="24">
        <f t="shared" si="76"/>
        <v>0</v>
      </c>
      <c r="BB67" s="24">
        <f t="shared" si="77"/>
        <v>0</v>
      </c>
      <c r="BC67" s="24">
        <f t="shared" si="77"/>
        <v>0</v>
      </c>
      <c r="BD67" s="24">
        <f t="shared" si="77"/>
        <v>0</v>
      </c>
      <c r="BE67" s="24">
        <f>N67-AJ67</f>
        <v>0</v>
      </c>
      <c r="BF67" s="24">
        <f t="shared" si="77"/>
        <v>0</v>
      </c>
      <c r="BG67" s="24">
        <f t="shared" si="77"/>
        <v>0</v>
      </c>
      <c r="BH67" s="24">
        <f t="shared" si="77"/>
        <v>0</v>
      </c>
      <c r="BI67" s="24">
        <f t="shared" si="77"/>
        <v>0</v>
      </c>
      <c r="BJ67" s="24">
        <f t="shared" si="77"/>
        <v>0</v>
      </c>
      <c r="BK67" s="24">
        <f>T67-AP67</f>
        <v>0</v>
      </c>
      <c r="BL67" s="24">
        <f t="shared" si="77"/>
        <v>0</v>
      </c>
      <c r="BM67" s="24">
        <f t="shared" si="77"/>
        <v>0</v>
      </c>
      <c r="BN67" s="24"/>
      <c r="BO67" s="24"/>
      <c r="BP67" s="24">
        <f t="shared" si="78"/>
        <v>0</v>
      </c>
      <c r="BQ67" s="24">
        <f t="shared" si="79"/>
        <v>3000000</v>
      </c>
      <c r="BR67" s="25">
        <f t="shared" si="10"/>
        <v>0.71506863636363638</v>
      </c>
      <c r="BS67" s="24">
        <f t="shared" si="80"/>
        <v>7865755</v>
      </c>
      <c r="BT67" s="24"/>
      <c r="BU67" s="24"/>
      <c r="BV67" s="24"/>
      <c r="BW67" s="24"/>
      <c r="BX67" s="24"/>
      <c r="BY67" s="24"/>
      <c r="BZ67" s="24"/>
      <c r="CA67" s="24"/>
      <c r="CB67" s="24"/>
      <c r="CC67" s="24"/>
      <c r="CD67" s="24"/>
      <c r="CE67" s="24"/>
      <c r="CF67" s="24"/>
      <c r="CG67" s="24"/>
      <c r="CH67" s="24"/>
      <c r="CI67" s="24"/>
      <c r="CJ67" s="24"/>
      <c r="CK67" s="24"/>
      <c r="CL67" s="24"/>
      <c r="CM67" s="24">
        <f>+'[1]SEPTIEMBRE 2016'!$H$3237</f>
        <v>7865755</v>
      </c>
      <c r="CN67" s="25">
        <f t="shared" si="81"/>
        <v>0.28493136363636362</v>
      </c>
      <c r="CO67" s="24">
        <f t="shared" si="82"/>
        <v>3134245</v>
      </c>
      <c r="CP67" s="24">
        <f t="shared" si="83"/>
        <v>0</v>
      </c>
      <c r="CQ67" s="24">
        <f t="shared" si="83"/>
        <v>0</v>
      </c>
      <c r="CR67" s="24">
        <f t="shared" si="83"/>
        <v>0</v>
      </c>
      <c r="CS67" s="24">
        <f t="shared" si="83"/>
        <v>0</v>
      </c>
      <c r="CT67" s="24">
        <f t="shared" si="83"/>
        <v>0</v>
      </c>
      <c r="CU67" s="24">
        <f t="shared" si="83"/>
        <v>0</v>
      </c>
      <c r="CV67" s="24">
        <f t="shared" si="84"/>
        <v>0</v>
      </c>
      <c r="CW67" s="24">
        <f t="shared" si="84"/>
        <v>0</v>
      </c>
      <c r="CX67" s="24">
        <f t="shared" si="84"/>
        <v>0</v>
      </c>
      <c r="CY67" s="24">
        <f t="shared" si="85"/>
        <v>0</v>
      </c>
      <c r="CZ67" s="24">
        <f t="shared" si="85"/>
        <v>0</v>
      </c>
      <c r="DA67" s="24">
        <f t="shared" si="85"/>
        <v>0</v>
      </c>
      <c r="DB67" s="24">
        <f t="shared" si="86"/>
        <v>0</v>
      </c>
      <c r="DC67" s="24">
        <f t="shared" si="86"/>
        <v>0</v>
      </c>
      <c r="DD67" s="24">
        <f t="shared" si="86"/>
        <v>0</v>
      </c>
      <c r="DE67" s="24"/>
      <c r="DF67" s="24">
        <f t="shared" si="87"/>
        <v>0</v>
      </c>
      <c r="DG67" s="54">
        <f t="shared" si="87"/>
        <v>0</v>
      </c>
      <c r="DH67" s="24">
        <f t="shared" si="87"/>
        <v>3134245</v>
      </c>
    </row>
    <row r="68" spans="1:112" ht="34.5" customHeight="1" x14ac:dyDescent="0.25">
      <c r="A68" s="229"/>
      <c r="B68" s="232"/>
      <c r="C68" s="20" t="s">
        <v>204</v>
      </c>
      <c r="D68" s="21" t="s">
        <v>205</v>
      </c>
      <c r="E68" s="22">
        <v>520</v>
      </c>
      <c r="F68" s="23" t="s">
        <v>206</v>
      </c>
      <c r="G68" s="24">
        <f t="shared" si="74"/>
        <v>8504663</v>
      </c>
      <c r="H68" s="33"/>
      <c r="I68" s="33"/>
      <c r="J68" s="33"/>
      <c r="K68" s="33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>
        <f>5000000+3504663</f>
        <v>8504663</v>
      </c>
      <c r="AA68" s="25">
        <f t="shared" ref="AA68:AA93" si="89">+AB68/G68</f>
        <v>0.5879127720875007</v>
      </c>
      <c r="AB68" s="24">
        <f t="shared" si="88"/>
        <v>5000000</v>
      </c>
      <c r="AC68" s="24"/>
      <c r="AD68" s="24"/>
      <c r="AE68" s="24"/>
      <c r="AF68" s="24"/>
      <c r="AG68" s="24"/>
      <c r="AH68" s="24"/>
      <c r="AI68" s="24"/>
      <c r="AJ68" s="24"/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>
        <f>+'[7]MAYO 2016'!$AG$1678</f>
        <v>5000000</v>
      </c>
      <c r="AW68" s="25">
        <f t="shared" si="3"/>
        <v>0.4120872279124993</v>
      </c>
      <c r="AX68" s="24">
        <f t="shared" si="75"/>
        <v>3504663</v>
      </c>
      <c r="AY68" s="24">
        <f t="shared" si="76"/>
        <v>0</v>
      </c>
      <c r="AZ68" s="24">
        <f t="shared" si="76"/>
        <v>0</v>
      </c>
      <c r="BA68" s="24">
        <f t="shared" si="76"/>
        <v>0</v>
      </c>
      <c r="BB68" s="24">
        <f t="shared" si="77"/>
        <v>0</v>
      </c>
      <c r="BC68" s="24">
        <f t="shared" si="77"/>
        <v>0</v>
      </c>
      <c r="BD68" s="24">
        <f t="shared" si="77"/>
        <v>0</v>
      </c>
      <c r="BE68" s="24">
        <f>N68-AJ68</f>
        <v>0</v>
      </c>
      <c r="BF68" s="24">
        <f t="shared" si="77"/>
        <v>0</v>
      </c>
      <c r="BG68" s="24">
        <f t="shared" si="77"/>
        <v>0</v>
      </c>
      <c r="BH68" s="24">
        <f t="shared" si="77"/>
        <v>0</v>
      </c>
      <c r="BI68" s="24">
        <f t="shared" si="77"/>
        <v>0</v>
      </c>
      <c r="BJ68" s="24">
        <f t="shared" si="77"/>
        <v>0</v>
      </c>
      <c r="BK68" s="24">
        <f>T68-AP68</f>
        <v>0</v>
      </c>
      <c r="BL68" s="24">
        <f t="shared" si="77"/>
        <v>0</v>
      </c>
      <c r="BM68" s="24">
        <f t="shared" si="77"/>
        <v>0</v>
      </c>
      <c r="BN68" s="24"/>
      <c r="BO68" s="24"/>
      <c r="BP68" s="24">
        <f t="shared" si="78"/>
        <v>0</v>
      </c>
      <c r="BQ68" s="24">
        <f t="shared" si="79"/>
        <v>3504663</v>
      </c>
      <c r="BR68" s="25">
        <f t="shared" ref="BR68:BR93" si="90">+BS68/G68</f>
        <v>0.5871132107174617</v>
      </c>
      <c r="BS68" s="24">
        <f t="shared" si="80"/>
        <v>4993200</v>
      </c>
      <c r="BT68" s="24"/>
      <c r="BU68" s="24"/>
      <c r="BV68" s="24"/>
      <c r="BW68" s="24"/>
      <c r="BX68" s="24"/>
      <c r="BY68" s="24"/>
      <c r="BZ68" s="24"/>
      <c r="CA68" s="24"/>
      <c r="CB68" s="24"/>
      <c r="CC68" s="24"/>
      <c r="CD68" s="24"/>
      <c r="CE68" s="24"/>
      <c r="CF68" s="24"/>
      <c r="CG68" s="24"/>
      <c r="CH68" s="24"/>
      <c r="CI68" s="24"/>
      <c r="CJ68" s="24"/>
      <c r="CK68" s="24"/>
      <c r="CL68" s="24"/>
      <c r="CM68" s="24">
        <f>+'[7]MAYO 2016'!$H$1676</f>
        <v>4993200</v>
      </c>
      <c r="CN68" s="25">
        <f t="shared" si="81"/>
        <v>0.4128867892825383</v>
      </c>
      <c r="CO68" s="24">
        <f t="shared" si="82"/>
        <v>3511463</v>
      </c>
      <c r="CP68" s="24">
        <f t="shared" si="83"/>
        <v>0</v>
      </c>
      <c r="CQ68" s="24">
        <f t="shared" si="83"/>
        <v>0</v>
      </c>
      <c r="CR68" s="24">
        <f t="shared" si="83"/>
        <v>0</v>
      </c>
      <c r="CS68" s="24">
        <f t="shared" si="83"/>
        <v>0</v>
      </c>
      <c r="CT68" s="24">
        <f t="shared" si="83"/>
        <v>0</v>
      </c>
      <c r="CU68" s="24">
        <f t="shared" si="83"/>
        <v>0</v>
      </c>
      <c r="CV68" s="24">
        <f t="shared" si="84"/>
        <v>0</v>
      </c>
      <c r="CW68" s="24">
        <f t="shared" si="84"/>
        <v>0</v>
      </c>
      <c r="CX68" s="24">
        <f t="shared" si="84"/>
        <v>0</v>
      </c>
      <c r="CY68" s="24">
        <f t="shared" si="85"/>
        <v>0</v>
      </c>
      <c r="CZ68" s="24">
        <f t="shared" si="85"/>
        <v>0</v>
      </c>
      <c r="DA68" s="24">
        <f t="shared" si="85"/>
        <v>0</v>
      </c>
      <c r="DB68" s="24">
        <f t="shared" si="86"/>
        <v>0</v>
      </c>
      <c r="DC68" s="24">
        <f t="shared" si="86"/>
        <v>0</v>
      </c>
      <c r="DD68" s="24">
        <f t="shared" si="86"/>
        <v>0</v>
      </c>
      <c r="DE68" s="24"/>
      <c r="DF68" s="24">
        <f t="shared" si="87"/>
        <v>0</v>
      </c>
      <c r="DG68" s="54">
        <f t="shared" si="87"/>
        <v>0</v>
      </c>
      <c r="DH68" s="24">
        <f t="shared" si="87"/>
        <v>3511463</v>
      </c>
    </row>
    <row r="69" spans="1:112" ht="35.25" customHeight="1" x14ac:dyDescent="0.25">
      <c r="A69" s="229"/>
      <c r="B69" s="232"/>
      <c r="C69" s="20" t="s">
        <v>207</v>
      </c>
      <c r="D69" s="21" t="s">
        <v>208</v>
      </c>
      <c r="E69" s="22">
        <v>520</v>
      </c>
      <c r="F69" s="23" t="s">
        <v>206</v>
      </c>
      <c r="G69" s="24">
        <f t="shared" si="74"/>
        <v>1000000</v>
      </c>
      <c r="H69" s="33"/>
      <c r="I69" s="33"/>
      <c r="J69" s="33"/>
      <c r="K69" s="33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>
        <f>7000000-7000000+1000000</f>
        <v>1000000</v>
      </c>
      <c r="AA69" s="25">
        <f t="shared" si="89"/>
        <v>0</v>
      </c>
      <c r="AB69" s="24">
        <f t="shared" si="88"/>
        <v>0</v>
      </c>
      <c r="AC69" s="24"/>
      <c r="AD69" s="24"/>
      <c r="AE69" s="24"/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5">
        <f t="shared" si="3"/>
        <v>1</v>
      </c>
      <c r="AX69" s="24">
        <f t="shared" si="75"/>
        <v>1000000</v>
      </c>
      <c r="AY69" s="24">
        <f t="shared" si="76"/>
        <v>0</v>
      </c>
      <c r="AZ69" s="24">
        <f t="shared" si="76"/>
        <v>0</v>
      </c>
      <c r="BA69" s="24">
        <f t="shared" si="76"/>
        <v>0</v>
      </c>
      <c r="BB69" s="24">
        <f t="shared" si="77"/>
        <v>0</v>
      </c>
      <c r="BC69" s="24">
        <f t="shared" si="77"/>
        <v>0</v>
      </c>
      <c r="BD69" s="24">
        <f t="shared" si="77"/>
        <v>0</v>
      </c>
      <c r="BE69" s="24">
        <f>+N69-AJ69</f>
        <v>0</v>
      </c>
      <c r="BF69" s="24">
        <f t="shared" si="77"/>
        <v>0</v>
      </c>
      <c r="BG69" s="24">
        <f t="shared" si="77"/>
        <v>0</v>
      </c>
      <c r="BH69" s="24">
        <f t="shared" si="77"/>
        <v>0</v>
      </c>
      <c r="BI69" s="24">
        <f t="shared" si="77"/>
        <v>0</v>
      </c>
      <c r="BJ69" s="24">
        <f t="shared" si="77"/>
        <v>0</v>
      </c>
      <c r="BK69" s="24">
        <f>+T69-AP69</f>
        <v>0</v>
      </c>
      <c r="BL69" s="24">
        <f t="shared" si="77"/>
        <v>0</v>
      </c>
      <c r="BM69" s="24">
        <f t="shared" si="77"/>
        <v>0</v>
      </c>
      <c r="BN69" s="24"/>
      <c r="BO69" s="24">
        <f>+X69-AT69</f>
        <v>0</v>
      </c>
      <c r="BP69" s="24">
        <f t="shared" si="78"/>
        <v>0</v>
      </c>
      <c r="BQ69" s="24">
        <f t="shared" si="79"/>
        <v>1000000</v>
      </c>
      <c r="BR69" s="25">
        <f t="shared" si="90"/>
        <v>0</v>
      </c>
      <c r="BS69" s="24">
        <f t="shared" si="80"/>
        <v>0</v>
      </c>
      <c r="BT69" s="24"/>
      <c r="BU69" s="24"/>
      <c r="BV69" s="24"/>
      <c r="BW69" s="24"/>
      <c r="BX69" s="24"/>
      <c r="BY69" s="24"/>
      <c r="BZ69" s="24"/>
      <c r="CA69" s="24"/>
      <c r="CB69" s="24"/>
      <c r="CC69" s="24"/>
      <c r="CD69" s="24"/>
      <c r="CE69" s="24"/>
      <c r="CF69" s="24"/>
      <c r="CG69" s="24"/>
      <c r="CH69" s="24"/>
      <c r="CI69" s="24"/>
      <c r="CJ69" s="24"/>
      <c r="CK69" s="24"/>
      <c r="CL69" s="24"/>
      <c r="CM69" s="24"/>
      <c r="CN69" s="25">
        <f t="shared" si="81"/>
        <v>1</v>
      </c>
      <c r="CO69" s="24">
        <f t="shared" si="82"/>
        <v>1000000</v>
      </c>
      <c r="CP69" s="24">
        <f t="shared" si="83"/>
        <v>0</v>
      </c>
      <c r="CQ69" s="24">
        <f t="shared" si="83"/>
        <v>0</v>
      </c>
      <c r="CR69" s="24">
        <f t="shared" si="83"/>
        <v>0</v>
      </c>
      <c r="CS69" s="24">
        <f t="shared" si="83"/>
        <v>0</v>
      </c>
      <c r="CT69" s="24">
        <f t="shared" si="83"/>
        <v>0</v>
      </c>
      <c r="CU69" s="24">
        <f t="shared" si="83"/>
        <v>0</v>
      </c>
      <c r="CV69" s="24">
        <f t="shared" si="84"/>
        <v>0</v>
      </c>
      <c r="CW69" s="24">
        <f t="shared" si="84"/>
        <v>0</v>
      </c>
      <c r="CX69" s="24">
        <f t="shared" si="84"/>
        <v>0</v>
      </c>
      <c r="CY69" s="24">
        <f t="shared" si="85"/>
        <v>0</v>
      </c>
      <c r="CZ69" s="24">
        <f t="shared" si="85"/>
        <v>0</v>
      </c>
      <c r="DA69" s="24">
        <f t="shared" si="85"/>
        <v>0</v>
      </c>
      <c r="DB69" s="24">
        <f t="shared" si="86"/>
        <v>0</v>
      </c>
      <c r="DC69" s="24">
        <f t="shared" si="86"/>
        <v>0</v>
      </c>
      <c r="DD69" s="24">
        <f t="shared" si="86"/>
        <v>0</v>
      </c>
      <c r="DE69" s="24"/>
      <c r="DF69" s="24">
        <f t="shared" si="87"/>
        <v>0</v>
      </c>
      <c r="DG69" s="54">
        <f t="shared" si="87"/>
        <v>0</v>
      </c>
      <c r="DH69" s="24">
        <f t="shared" si="87"/>
        <v>1000000</v>
      </c>
    </row>
    <row r="70" spans="1:112" ht="76.5" customHeight="1" x14ac:dyDescent="0.25">
      <c r="A70" s="229"/>
      <c r="B70" s="232"/>
      <c r="C70" s="20" t="s">
        <v>209</v>
      </c>
      <c r="D70" s="21" t="s">
        <v>210</v>
      </c>
      <c r="E70" s="22">
        <v>520</v>
      </c>
      <c r="F70" s="23" t="s">
        <v>211</v>
      </c>
      <c r="G70" s="24">
        <f t="shared" si="74"/>
        <v>486018694</v>
      </c>
      <c r="H70" s="33"/>
      <c r="I70" s="33"/>
      <c r="J70" s="33"/>
      <c r="K70" s="33"/>
      <c r="L70" s="24"/>
      <c r="M70" s="24"/>
      <c r="N70" s="24"/>
      <c r="O70" s="24"/>
      <c r="P70" s="24"/>
      <c r="Q70" s="24"/>
      <c r="R70" s="24"/>
      <c r="S70" s="24">
        <v>30000000</v>
      </c>
      <c r="T70" s="24"/>
      <c r="U70" s="24"/>
      <c r="V70" s="24"/>
      <c r="W70" s="24"/>
      <c r="X70" s="24"/>
      <c r="Y70" s="24"/>
      <c r="Z70" s="24">
        <f>267022558+25000000+11804220+35899362+2954659+41266345-11804220+4000000+896074+17250000+7067000+8662696+46000000</f>
        <v>456018694</v>
      </c>
      <c r="AA70" s="25">
        <f t="shared" si="89"/>
        <v>0.9168250676382419</v>
      </c>
      <c r="AB70" s="24">
        <f t="shared" si="88"/>
        <v>445594122</v>
      </c>
      <c r="AC70" s="24"/>
      <c r="AD70" s="24"/>
      <c r="AE70" s="24"/>
      <c r="AF70" s="24"/>
      <c r="AG70" s="24"/>
      <c r="AH70" s="24"/>
      <c r="AI70" s="24"/>
      <c r="AJ70" s="24"/>
      <c r="AK70" s="24"/>
      <c r="AL70" s="24"/>
      <c r="AM70" s="24"/>
      <c r="AN70" s="24"/>
      <c r="AO70" s="24">
        <f>+'[1]SEPTIEMBRE 2016'!$W$3281</f>
        <v>13947388</v>
      </c>
      <c r="AP70" s="24"/>
      <c r="AQ70" s="24"/>
      <c r="AR70" s="24"/>
      <c r="AS70" s="24"/>
      <c r="AT70" s="24"/>
      <c r="AU70" s="24"/>
      <c r="AV70" s="24">
        <f>+'[1]SEPTIEMBRE 2016'!$AG$3281</f>
        <v>431646734</v>
      </c>
      <c r="AW70" s="25">
        <f t="shared" ref="AW70:AW93" si="91">1-AA70</f>
        <v>8.3174932361758103E-2</v>
      </c>
      <c r="AX70" s="24">
        <f t="shared" si="75"/>
        <v>40424572</v>
      </c>
      <c r="AY70" s="24">
        <f t="shared" si="76"/>
        <v>0</v>
      </c>
      <c r="AZ70" s="24">
        <f t="shared" si="76"/>
        <v>0</v>
      </c>
      <c r="BA70" s="24">
        <f t="shared" si="76"/>
        <v>0</v>
      </c>
      <c r="BB70" s="24">
        <f t="shared" si="77"/>
        <v>0</v>
      </c>
      <c r="BC70" s="24">
        <f t="shared" si="77"/>
        <v>0</v>
      </c>
      <c r="BD70" s="24">
        <f t="shared" si="77"/>
        <v>0</v>
      </c>
      <c r="BE70" s="24">
        <f>+N70-AJ70</f>
        <v>0</v>
      </c>
      <c r="BF70" s="24">
        <f t="shared" si="77"/>
        <v>0</v>
      </c>
      <c r="BG70" s="24">
        <f t="shared" si="77"/>
        <v>0</v>
      </c>
      <c r="BH70" s="24">
        <f t="shared" si="77"/>
        <v>0</v>
      </c>
      <c r="BI70" s="24">
        <f t="shared" si="77"/>
        <v>0</v>
      </c>
      <c r="BJ70" s="24">
        <f t="shared" si="77"/>
        <v>16052612</v>
      </c>
      <c r="BK70" s="24">
        <f>+T70-AP70</f>
        <v>0</v>
      </c>
      <c r="BL70" s="24">
        <f t="shared" si="77"/>
        <v>0</v>
      </c>
      <c r="BM70" s="24">
        <f t="shared" si="77"/>
        <v>0</v>
      </c>
      <c r="BN70" s="24"/>
      <c r="BO70" s="24"/>
      <c r="BP70" s="24">
        <f t="shared" si="78"/>
        <v>0</v>
      </c>
      <c r="BQ70" s="24">
        <f t="shared" si="79"/>
        <v>24371960</v>
      </c>
      <c r="BR70" s="25">
        <f t="shared" si="90"/>
        <v>0.89408793399210273</v>
      </c>
      <c r="BS70" s="24">
        <f t="shared" si="80"/>
        <v>434543450</v>
      </c>
      <c r="BT70" s="24"/>
      <c r="BU70" s="24"/>
      <c r="BV70" s="24"/>
      <c r="BW70" s="24"/>
      <c r="BX70" s="24"/>
      <c r="BY70" s="24"/>
      <c r="BZ70" s="24"/>
      <c r="CA70" s="24"/>
      <c r="CB70" s="24"/>
      <c r="CC70" s="24"/>
      <c r="CD70" s="24"/>
      <c r="CE70" s="24"/>
      <c r="CF70" s="24">
        <f>+'[1]SEPTIEMBRE 2016'!$H$3395+'[1]SEPTIEMBRE 2016'!$H$3397+'[1]SEPTIEMBRE 2016'!$H$3399</f>
        <v>11224475</v>
      </c>
      <c r="CG70" s="24"/>
      <c r="CH70" s="24"/>
      <c r="CI70" s="24"/>
      <c r="CJ70" s="24"/>
      <c r="CK70" s="24"/>
      <c r="CL70" s="24"/>
      <c r="CM70" s="24">
        <f>+'[1]SEPTIEMBRE 2016'!$H$3279-CF70</f>
        <v>423318975</v>
      </c>
      <c r="CN70" s="25">
        <f t="shared" si="81"/>
        <v>0.10591206600789727</v>
      </c>
      <c r="CO70" s="24">
        <f t="shared" si="82"/>
        <v>51475244</v>
      </c>
      <c r="CP70" s="24">
        <f t="shared" si="83"/>
        <v>0</v>
      </c>
      <c r="CQ70" s="24">
        <f t="shared" si="83"/>
        <v>0</v>
      </c>
      <c r="CR70" s="24">
        <f t="shared" si="83"/>
        <v>0</v>
      </c>
      <c r="CS70" s="24">
        <f t="shared" si="83"/>
        <v>0</v>
      </c>
      <c r="CT70" s="24">
        <f t="shared" si="83"/>
        <v>0</v>
      </c>
      <c r="CU70" s="24">
        <f t="shared" si="83"/>
        <v>0</v>
      </c>
      <c r="CV70" s="24">
        <f t="shared" si="84"/>
        <v>0</v>
      </c>
      <c r="CW70" s="24">
        <f t="shared" si="84"/>
        <v>0</v>
      </c>
      <c r="CX70" s="24">
        <f t="shared" si="84"/>
        <v>0</v>
      </c>
      <c r="CY70" s="24">
        <f t="shared" si="85"/>
        <v>0</v>
      </c>
      <c r="CZ70" s="24">
        <f t="shared" si="85"/>
        <v>0</v>
      </c>
      <c r="DA70" s="24">
        <f t="shared" si="85"/>
        <v>18775525</v>
      </c>
      <c r="DB70" s="24">
        <f t="shared" si="86"/>
        <v>0</v>
      </c>
      <c r="DC70" s="24">
        <f t="shared" si="86"/>
        <v>0</v>
      </c>
      <c r="DD70" s="24">
        <f t="shared" si="86"/>
        <v>0</v>
      </c>
      <c r="DE70" s="24"/>
      <c r="DF70" s="24">
        <f t="shared" si="87"/>
        <v>0</v>
      </c>
      <c r="DG70" s="54">
        <f t="shared" si="87"/>
        <v>0</v>
      </c>
      <c r="DH70" s="24">
        <f t="shared" si="87"/>
        <v>32699719</v>
      </c>
    </row>
    <row r="71" spans="1:112" ht="36" customHeight="1" x14ac:dyDescent="0.25">
      <c r="A71" s="229"/>
      <c r="B71" s="232"/>
      <c r="C71" s="20" t="s">
        <v>212</v>
      </c>
      <c r="D71" s="21" t="s">
        <v>213</v>
      </c>
      <c r="E71" s="22">
        <v>520</v>
      </c>
      <c r="F71" s="23" t="s">
        <v>91</v>
      </c>
      <c r="G71" s="24">
        <f t="shared" si="74"/>
        <v>20000000</v>
      </c>
      <c r="H71" s="33"/>
      <c r="I71" s="33"/>
      <c r="J71" s="33"/>
      <c r="K71" s="24">
        <v>20000000</v>
      </c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5">
        <f t="shared" si="89"/>
        <v>0.1</v>
      </c>
      <c r="AB71" s="24">
        <f t="shared" si="88"/>
        <v>2000000</v>
      </c>
      <c r="AC71" s="24"/>
      <c r="AD71" s="24"/>
      <c r="AE71" s="24"/>
      <c r="AF71" s="24"/>
      <c r="AG71" s="24">
        <f>+'[1]SEPTIEMBRE 2016'!$G$3405</f>
        <v>2000000</v>
      </c>
      <c r="AH71" s="24"/>
      <c r="AI71" s="24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5">
        <f t="shared" si="91"/>
        <v>0.9</v>
      </c>
      <c r="AX71" s="24">
        <f t="shared" si="75"/>
        <v>18000000</v>
      </c>
      <c r="AY71" s="24">
        <f t="shared" si="76"/>
        <v>0</v>
      </c>
      <c r="AZ71" s="24">
        <f t="shared" si="76"/>
        <v>0</v>
      </c>
      <c r="BA71" s="24">
        <f t="shared" si="76"/>
        <v>0</v>
      </c>
      <c r="BB71" s="24">
        <f t="shared" si="76"/>
        <v>18000000</v>
      </c>
      <c r="BC71" s="24">
        <f t="shared" si="76"/>
        <v>0</v>
      </c>
      <c r="BD71" s="24">
        <f t="shared" si="76"/>
        <v>0</v>
      </c>
      <c r="BE71" s="24">
        <f t="shared" si="76"/>
        <v>0</v>
      </c>
      <c r="BF71" s="24">
        <f t="shared" si="76"/>
        <v>0</v>
      </c>
      <c r="BG71" s="24">
        <f t="shared" si="76"/>
        <v>0</v>
      </c>
      <c r="BH71" s="24">
        <f t="shared" si="76"/>
        <v>0</v>
      </c>
      <c r="BI71" s="24">
        <f t="shared" si="76"/>
        <v>0</v>
      </c>
      <c r="BJ71" s="24">
        <f t="shared" si="76"/>
        <v>0</v>
      </c>
      <c r="BK71" s="24">
        <f t="shared" si="76"/>
        <v>0</v>
      </c>
      <c r="BL71" s="24">
        <f t="shared" si="76"/>
        <v>0</v>
      </c>
      <c r="BM71" s="24">
        <f t="shared" si="76"/>
        <v>0</v>
      </c>
      <c r="BN71" s="24"/>
      <c r="BO71" s="24">
        <f>X71-AT71</f>
        <v>0</v>
      </c>
      <c r="BP71" s="24">
        <f t="shared" si="78"/>
        <v>0</v>
      </c>
      <c r="BQ71" s="24">
        <f>Z71-AV71</f>
        <v>0</v>
      </c>
      <c r="BR71" s="25">
        <f t="shared" si="90"/>
        <v>0.1</v>
      </c>
      <c r="BS71" s="24">
        <f t="shared" si="80"/>
        <v>2000000</v>
      </c>
      <c r="BT71" s="24"/>
      <c r="BU71" s="24"/>
      <c r="BV71" s="24"/>
      <c r="BW71" s="24"/>
      <c r="BX71" s="24">
        <f>+'[1]SEPTIEMBRE 2016'!$H$3405</f>
        <v>2000000</v>
      </c>
      <c r="BY71" s="24"/>
      <c r="BZ71" s="24"/>
      <c r="CA71" s="24"/>
      <c r="CB71" s="24"/>
      <c r="CC71" s="24"/>
      <c r="CD71" s="24"/>
      <c r="CE71" s="24"/>
      <c r="CF71" s="24"/>
      <c r="CG71" s="24"/>
      <c r="CH71" s="24"/>
      <c r="CI71" s="24"/>
      <c r="CJ71" s="24"/>
      <c r="CK71" s="24"/>
      <c r="CL71" s="24"/>
      <c r="CM71" s="24"/>
      <c r="CN71" s="25">
        <f t="shared" si="81"/>
        <v>0.9</v>
      </c>
      <c r="CO71" s="24">
        <f t="shared" si="82"/>
        <v>18000000</v>
      </c>
      <c r="CP71" s="24">
        <f t="shared" si="83"/>
        <v>0</v>
      </c>
      <c r="CQ71" s="24">
        <f t="shared" si="83"/>
        <v>0</v>
      </c>
      <c r="CR71" s="24">
        <f t="shared" si="83"/>
        <v>0</v>
      </c>
      <c r="CS71" s="24">
        <f t="shared" si="83"/>
        <v>18000000</v>
      </c>
      <c r="CT71" s="24">
        <f t="shared" si="83"/>
        <v>0</v>
      </c>
      <c r="CU71" s="24">
        <f t="shared" si="83"/>
        <v>0</v>
      </c>
      <c r="CV71" s="24">
        <f t="shared" si="83"/>
        <v>0</v>
      </c>
      <c r="CW71" s="24">
        <f t="shared" si="83"/>
        <v>0</v>
      </c>
      <c r="CX71" s="24">
        <f t="shared" si="83"/>
        <v>0</v>
      </c>
      <c r="CY71" s="24">
        <f t="shared" si="85"/>
        <v>0</v>
      </c>
      <c r="CZ71" s="24">
        <f t="shared" si="85"/>
        <v>0</v>
      </c>
      <c r="DA71" s="24">
        <f t="shared" si="85"/>
        <v>0</v>
      </c>
      <c r="DB71" s="24">
        <f t="shared" si="85"/>
        <v>0</v>
      </c>
      <c r="DC71" s="24">
        <f t="shared" si="85"/>
        <v>0</v>
      </c>
      <c r="DD71" s="24">
        <f t="shared" si="85"/>
        <v>0</v>
      </c>
      <c r="DE71" s="24"/>
      <c r="DF71" s="24">
        <f t="shared" ref="DF71:DH72" si="92">X71-CK71</f>
        <v>0</v>
      </c>
      <c r="DG71" s="24">
        <f t="shared" si="92"/>
        <v>0</v>
      </c>
      <c r="DH71" s="24">
        <f t="shared" si="92"/>
        <v>0</v>
      </c>
    </row>
    <row r="72" spans="1:112" ht="34.5" customHeight="1" x14ac:dyDescent="0.25">
      <c r="A72" s="230"/>
      <c r="B72" s="233"/>
      <c r="C72" s="20" t="s">
        <v>214</v>
      </c>
      <c r="D72" s="21" t="s">
        <v>215</v>
      </c>
      <c r="E72" s="22">
        <v>520</v>
      </c>
      <c r="F72" s="23" t="s">
        <v>91</v>
      </c>
      <c r="G72" s="24">
        <f t="shared" si="74"/>
        <v>20000000</v>
      </c>
      <c r="H72" s="33"/>
      <c r="I72" s="33"/>
      <c r="J72" s="33"/>
      <c r="K72" s="24">
        <v>20000000</v>
      </c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5">
        <f t="shared" si="89"/>
        <v>0.93382905000000005</v>
      </c>
      <c r="AB72" s="24">
        <f t="shared" si="88"/>
        <v>18676581</v>
      </c>
      <c r="AC72" s="24"/>
      <c r="AD72" s="24"/>
      <c r="AE72" s="24"/>
      <c r="AF72" s="24"/>
      <c r="AG72" s="24">
        <f>+'[1]SEPTIEMBRE 2016'!$O$3413</f>
        <v>18676581</v>
      </c>
      <c r="AH72" s="24"/>
      <c r="AI72" s="24"/>
      <c r="AJ72" s="24"/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5">
        <f t="shared" si="91"/>
        <v>6.6170949999999951E-2</v>
      </c>
      <c r="AX72" s="24">
        <f t="shared" si="75"/>
        <v>1323419</v>
      </c>
      <c r="AY72" s="24">
        <f t="shared" si="76"/>
        <v>0</v>
      </c>
      <c r="AZ72" s="24">
        <f t="shared" si="76"/>
        <v>0</v>
      </c>
      <c r="BA72" s="24">
        <f t="shared" si="76"/>
        <v>0</v>
      </c>
      <c r="BB72" s="24">
        <f t="shared" si="76"/>
        <v>1323419</v>
      </c>
      <c r="BC72" s="24">
        <f t="shared" si="76"/>
        <v>0</v>
      </c>
      <c r="BD72" s="24">
        <f t="shared" si="76"/>
        <v>0</v>
      </c>
      <c r="BE72" s="24">
        <f t="shared" si="76"/>
        <v>0</v>
      </c>
      <c r="BF72" s="24">
        <f t="shared" si="76"/>
        <v>0</v>
      </c>
      <c r="BG72" s="24">
        <f t="shared" si="76"/>
        <v>0</v>
      </c>
      <c r="BH72" s="24">
        <f t="shared" si="76"/>
        <v>0</v>
      </c>
      <c r="BI72" s="24">
        <f t="shared" si="76"/>
        <v>0</v>
      </c>
      <c r="BJ72" s="24">
        <f t="shared" si="76"/>
        <v>0</v>
      </c>
      <c r="BK72" s="24">
        <f t="shared" si="76"/>
        <v>0</v>
      </c>
      <c r="BL72" s="24">
        <f t="shared" si="76"/>
        <v>0</v>
      </c>
      <c r="BM72" s="24">
        <f t="shared" si="76"/>
        <v>0</v>
      </c>
      <c r="BN72" s="24"/>
      <c r="BO72" s="24">
        <f>X72-AT72</f>
        <v>0</v>
      </c>
      <c r="BP72" s="24">
        <f t="shared" si="78"/>
        <v>0</v>
      </c>
      <c r="BQ72" s="24">
        <f>Z72-AV72</f>
        <v>0</v>
      </c>
      <c r="BR72" s="25">
        <f t="shared" si="90"/>
        <v>0.92382905000000004</v>
      </c>
      <c r="BS72" s="24">
        <f t="shared" si="80"/>
        <v>18476581</v>
      </c>
      <c r="BT72" s="24"/>
      <c r="BU72" s="24"/>
      <c r="BV72" s="24"/>
      <c r="BW72" s="24"/>
      <c r="BX72" s="24">
        <f>+'[1]SEPTIEMBRE 2016'!$H$3411</f>
        <v>18476581</v>
      </c>
      <c r="BY72" s="24"/>
      <c r="BZ72" s="24"/>
      <c r="CA72" s="24"/>
      <c r="CB72" s="24"/>
      <c r="CC72" s="24"/>
      <c r="CD72" s="24"/>
      <c r="CE72" s="24"/>
      <c r="CF72" s="24"/>
      <c r="CG72" s="24"/>
      <c r="CH72" s="24"/>
      <c r="CI72" s="24"/>
      <c r="CJ72" s="24"/>
      <c r="CK72" s="24"/>
      <c r="CL72" s="24"/>
      <c r="CM72" s="24"/>
      <c r="CN72" s="25">
        <f t="shared" si="81"/>
        <v>7.617094999999996E-2</v>
      </c>
      <c r="CO72" s="24">
        <f t="shared" si="82"/>
        <v>1523419</v>
      </c>
      <c r="CP72" s="24">
        <f t="shared" si="83"/>
        <v>0</v>
      </c>
      <c r="CQ72" s="24">
        <f t="shared" si="83"/>
        <v>0</v>
      </c>
      <c r="CR72" s="24">
        <f t="shared" si="83"/>
        <v>0</v>
      </c>
      <c r="CS72" s="24">
        <f t="shared" si="83"/>
        <v>1523419</v>
      </c>
      <c r="CT72" s="24">
        <f t="shared" si="83"/>
        <v>0</v>
      </c>
      <c r="CU72" s="24">
        <f t="shared" si="83"/>
        <v>0</v>
      </c>
      <c r="CV72" s="24">
        <f t="shared" si="83"/>
        <v>0</v>
      </c>
      <c r="CW72" s="24">
        <f t="shared" si="83"/>
        <v>0</v>
      </c>
      <c r="CX72" s="24">
        <f t="shared" si="83"/>
        <v>0</v>
      </c>
      <c r="CY72" s="24">
        <f t="shared" si="85"/>
        <v>0</v>
      </c>
      <c r="CZ72" s="24">
        <f t="shared" si="85"/>
        <v>0</v>
      </c>
      <c r="DA72" s="24">
        <f t="shared" si="85"/>
        <v>0</v>
      </c>
      <c r="DB72" s="24">
        <f t="shared" si="85"/>
        <v>0</v>
      </c>
      <c r="DC72" s="24">
        <f t="shared" si="85"/>
        <v>0</v>
      </c>
      <c r="DD72" s="24">
        <f t="shared" si="85"/>
        <v>0</v>
      </c>
      <c r="DE72" s="24"/>
      <c r="DF72" s="24">
        <f t="shared" si="92"/>
        <v>0</v>
      </c>
      <c r="DG72" s="24">
        <f t="shared" si="92"/>
        <v>0</v>
      </c>
      <c r="DH72" s="24">
        <f t="shared" si="92"/>
        <v>0</v>
      </c>
    </row>
    <row r="73" spans="1:112" ht="33" customHeight="1" x14ac:dyDescent="0.25">
      <c r="A73" s="228" t="s">
        <v>183</v>
      </c>
      <c r="B73" s="242" t="s">
        <v>216</v>
      </c>
      <c r="C73" s="20" t="s">
        <v>217</v>
      </c>
      <c r="D73" s="21" t="s">
        <v>218</v>
      </c>
      <c r="E73" s="22">
        <v>520</v>
      </c>
      <c r="F73" s="23" t="s">
        <v>91</v>
      </c>
      <c r="G73" s="24">
        <f t="shared" si="74"/>
        <v>10000000</v>
      </c>
      <c r="H73" s="33"/>
      <c r="I73" s="24"/>
      <c r="J73" s="24"/>
      <c r="K73" s="24">
        <f>20000000-10000000</f>
        <v>10000000</v>
      </c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5">
        <f t="shared" si="89"/>
        <v>0.98321999999999998</v>
      </c>
      <c r="AB73" s="24">
        <f t="shared" si="88"/>
        <v>9832200</v>
      </c>
      <c r="AC73" s="24"/>
      <c r="AD73" s="24"/>
      <c r="AE73" s="24"/>
      <c r="AF73" s="24"/>
      <c r="AG73" s="24">
        <f>+'[1]SEPTIEMBRE 2016'!$O$3429</f>
        <v>9832200</v>
      </c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5">
        <f t="shared" si="91"/>
        <v>1.6780000000000017E-2</v>
      </c>
      <c r="AX73" s="24">
        <f t="shared" si="75"/>
        <v>167800</v>
      </c>
      <c r="AY73" s="24">
        <f t="shared" si="76"/>
        <v>0</v>
      </c>
      <c r="AZ73" s="24">
        <f t="shared" si="76"/>
        <v>0</v>
      </c>
      <c r="BA73" s="24">
        <f t="shared" si="76"/>
        <v>0</v>
      </c>
      <c r="BB73" s="24">
        <f t="shared" ref="BB73:BM88" si="93">+K73-AG73</f>
        <v>167800</v>
      </c>
      <c r="BC73" s="24">
        <f t="shared" si="93"/>
        <v>0</v>
      </c>
      <c r="BD73" s="24">
        <f t="shared" si="93"/>
        <v>0</v>
      </c>
      <c r="BE73" s="24">
        <f t="shared" si="93"/>
        <v>0</v>
      </c>
      <c r="BF73" s="24">
        <f t="shared" si="93"/>
        <v>0</v>
      </c>
      <c r="BG73" s="24">
        <f t="shared" si="93"/>
        <v>0</v>
      </c>
      <c r="BH73" s="24">
        <f t="shared" si="93"/>
        <v>0</v>
      </c>
      <c r="BI73" s="24">
        <f t="shared" si="93"/>
        <v>0</v>
      </c>
      <c r="BJ73" s="24">
        <f t="shared" si="93"/>
        <v>0</v>
      </c>
      <c r="BK73" s="24">
        <f t="shared" si="93"/>
        <v>0</v>
      </c>
      <c r="BL73" s="24">
        <f t="shared" si="93"/>
        <v>0</v>
      </c>
      <c r="BM73" s="24">
        <f t="shared" si="93"/>
        <v>0</v>
      </c>
      <c r="BN73" s="24"/>
      <c r="BO73" s="24"/>
      <c r="BP73" s="24">
        <f t="shared" si="78"/>
        <v>0</v>
      </c>
      <c r="BQ73" s="24">
        <f t="shared" ref="BQ73:BQ92" si="94">+Z73-AV73</f>
        <v>0</v>
      </c>
      <c r="BR73" s="25">
        <f t="shared" si="90"/>
        <v>0</v>
      </c>
      <c r="BS73" s="24">
        <f t="shared" si="80"/>
        <v>0</v>
      </c>
      <c r="BT73" s="24"/>
      <c r="BU73" s="24"/>
      <c r="BV73" s="24"/>
      <c r="BW73" s="24"/>
      <c r="BX73" s="24"/>
      <c r="BY73" s="24"/>
      <c r="BZ73" s="24"/>
      <c r="CA73" s="24"/>
      <c r="CB73" s="24"/>
      <c r="CC73" s="24"/>
      <c r="CD73" s="24"/>
      <c r="CE73" s="24"/>
      <c r="CF73" s="24"/>
      <c r="CG73" s="24"/>
      <c r="CH73" s="24"/>
      <c r="CI73" s="24"/>
      <c r="CJ73" s="24"/>
      <c r="CK73" s="24"/>
      <c r="CL73" s="24"/>
      <c r="CM73" s="24"/>
      <c r="CN73" s="25">
        <f t="shared" si="81"/>
        <v>1</v>
      </c>
      <c r="CO73" s="24">
        <f t="shared" si="82"/>
        <v>10000000</v>
      </c>
      <c r="CP73" s="24">
        <f t="shared" si="83"/>
        <v>0</v>
      </c>
      <c r="CQ73" s="24">
        <f t="shared" si="83"/>
        <v>0</v>
      </c>
      <c r="CR73" s="24">
        <f t="shared" si="83"/>
        <v>0</v>
      </c>
      <c r="CS73" s="24">
        <f t="shared" si="83"/>
        <v>10000000</v>
      </c>
      <c r="CT73" s="24">
        <f t="shared" si="83"/>
        <v>0</v>
      </c>
      <c r="CU73" s="24">
        <f t="shared" si="83"/>
        <v>0</v>
      </c>
      <c r="CV73" s="24">
        <f t="shared" ref="CV73:CX75" si="95">+N73-CA73</f>
        <v>0</v>
      </c>
      <c r="CW73" s="24">
        <f t="shared" si="95"/>
        <v>0</v>
      </c>
      <c r="CX73" s="24">
        <f t="shared" si="95"/>
        <v>0</v>
      </c>
      <c r="CY73" s="24">
        <f t="shared" si="85"/>
        <v>0</v>
      </c>
      <c r="CZ73" s="24">
        <f t="shared" si="85"/>
        <v>0</v>
      </c>
      <c r="DA73" s="24">
        <f t="shared" si="85"/>
        <v>0</v>
      </c>
      <c r="DB73" s="24">
        <f t="shared" ref="DB73:DD84" si="96">+T73-CG73</f>
        <v>0</v>
      </c>
      <c r="DC73" s="24">
        <f t="shared" si="96"/>
        <v>0</v>
      </c>
      <c r="DD73" s="24">
        <f t="shared" si="96"/>
        <v>0</v>
      </c>
      <c r="DE73" s="24"/>
      <c r="DF73" s="24">
        <f t="shared" ref="DF73:DH84" si="97">+X73-CK73</f>
        <v>0</v>
      </c>
      <c r="DG73" s="54">
        <f t="shared" si="97"/>
        <v>0</v>
      </c>
      <c r="DH73" s="24">
        <f t="shared" si="97"/>
        <v>0</v>
      </c>
    </row>
    <row r="74" spans="1:112" ht="35.25" customHeight="1" x14ac:dyDescent="0.25">
      <c r="A74" s="229"/>
      <c r="B74" s="243"/>
      <c r="C74" s="20" t="s">
        <v>219</v>
      </c>
      <c r="D74" s="21" t="s">
        <v>220</v>
      </c>
      <c r="E74" s="22">
        <v>520</v>
      </c>
      <c r="F74" s="23" t="s">
        <v>91</v>
      </c>
      <c r="G74" s="24">
        <f t="shared" si="74"/>
        <v>17970750</v>
      </c>
      <c r="H74" s="33"/>
      <c r="I74" s="24"/>
      <c r="J74" s="24"/>
      <c r="K74" s="24">
        <f>20000000-2029250</f>
        <v>17970750</v>
      </c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5">
        <f t="shared" si="89"/>
        <v>1</v>
      </c>
      <c r="AB74" s="24">
        <f t="shared" si="88"/>
        <v>17970750</v>
      </c>
      <c r="AC74" s="24"/>
      <c r="AD74" s="24"/>
      <c r="AE74" s="24"/>
      <c r="AF74" s="24"/>
      <c r="AG74" s="24">
        <f>+'[4]AGOSTO 2016'!$G$2917</f>
        <v>17970750</v>
      </c>
      <c r="AH74" s="24"/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5">
        <f t="shared" si="91"/>
        <v>0</v>
      </c>
      <c r="AX74" s="24">
        <f t="shared" si="75"/>
        <v>0</v>
      </c>
      <c r="AY74" s="24">
        <f t="shared" si="76"/>
        <v>0</v>
      </c>
      <c r="AZ74" s="24">
        <f t="shared" si="76"/>
        <v>0</v>
      </c>
      <c r="BA74" s="24">
        <f t="shared" si="76"/>
        <v>0</v>
      </c>
      <c r="BB74" s="24">
        <f t="shared" si="93"/>
        <v>0</v>
      </c>
      <c r="BC74" s="24">
        <f t="shared" si="93"/>
        <v>0</v>
      </c>
      <c r="BD74" s="24">
        <f t="shared" si="93"/>
        <v>0</v>
      </c>
      <c r="BE74" s="24">
        <f t="shared" si="93"/>
        <v>0</v>
      </c>
      <c r="BF74" s="24">
        <f t="shared" si="93"/>
        <v>0</v>
      </c>
      <c r="BG74" s="24">
        <f t="shared" si="93"/>
        <v>0</v>
      </c>
      <c r="BH74" s="24">
        <f t="shared" si="93"/>
        <v>0</v>
      </c>
      <c r="BI74" s="24">
        <f t="shared" si="93"/>
        <v>0</v>
      </c>
      <c r="BJ74" s="24">
        <f t="shared" si="93"/>
        <v>0</v>
      </c>
      <c r="BK74" s="24">
        <f t="shared" si="93"/>
        <v>0</v>
      </c>
      <c r="BL74" s="24">
        <f t="shared" si="93"/>
        <v>0</v>
      </c>
      <c r="BM74" s="24">
        <f t="shared" si="93"/>
        <v>0</v>
      </c>
      <c r="BN74" s="24"/>
      <c r="BO74" s="24"/>
      <c r="BP74" s="24">
        <f t="shared" si="78"/>
        <v>0</v>
      </c>
      <c r="BQ74" s="24">
        <f t="shared" si="94"/>
        <v>0</v>
      </c>
      <c r="BR74" s="25">
        <f t="shared" si="90"/>
        <v>1</v>
      </c>
      <c r="BS74" s="24">
        <f t="shared" si="80"/>
        <v>17970750</v>
      </c>
      <c r="BT74" s="24"/>
      <c r="BU74" s="24"/>
      <c r="BV74" s="24"/>
      <c r="BW74" s="24"/>
      <c r="BX74" s="24">
        <f>+'[2]ENERO 2016'!$H$769</f>
        <v>17970750</v>
      </c>
      <c r="BY74" s="24"/>
      <c r="BZ74" s="24"/>
      <c r="CA74" s="24"/>
      <c r="CB74" s="24"/>
      <c r="CC74" s="24"/>
      <c r="CD74" s="24"/>
      <c r="CE74" s="24"/>
      <c r="CF74" s="24"/>
      <c r="CG74" s="24"/>
      <c r="CH74" s="24"/>
      <c r="CI74" s="24"/>
      <c r="CJ74" s="24"/>
      <c r="CK74" s="24"/>
      <c r="CL74" s="24"/>
      <c r="CM74" s="24"/>
      <c r="CN74" s="25">
        <f t="shared" si="81"/>
        <v>0</v>
      </c>
      <c r="CO74" s="24">
        <f t="shared" si="82"/>
        <v>0</v>
      </c>
      <c r="CP74" s="24">
        <f t="shared" si="83"/>
        <v>0</v>
      </c>
      <c r="CQ74" s="24">
        <f t="shared" si="83"/>
        <v>0</v>
      </c>
      <c r="CR74" s="24">
        <f t="shared" si="83"/>
        <v>0</v>
      </c>
      <c r="CS74" s="24">
        <f t="shared" si="83"/>
        <v>0</v>
      </c>
      <c r="CT74" s="24">
        <f t="shared" si="83"/>
        <v>0</v>
      </c>
      <c r="CU74" s="24">
        <f t="shared" si="83"/>
        <v>0</v>
      </c>
      <c r="CV74" s="24">
        <f t="shared" si="95"/>
        <v>0</v>
      </c>
      <c r="CW74" s="24">
        <f t="shared" si="95"/>
        <v>0</v>
      </c>
      <c r="CX74" s="24">
        <f t="shared" si="95"/>
        <v>0</v>
      </c>
      <c r="CY74" s="24">
        <f t="shared" si="85"/>
        <v>0</v>
      </c>
      <c r="CZ74" s="24">
        <f t="shared" si="85"/>
        <v>0</v>
      </c>
      <c r="DA74" s="24">
        <f t="shared" si="85"/>
        <v>0</v>
      </c>
      <c r="DB74" s="24">
        <f t="shared" si="96"/>
        <v>0</v>
      </c>
      <c r="DC74" s="24">
        <f t="shared" si="96"/>
        <v>0</v>
      </c>
      <c r="DD74" s="24">
        <f t="shared" si="96"/>
        <v>0</v>
      </c>
      <c r="DE74" s="24"/>
      <c r="DF74" s="24">
        <f t="shared" si="97"/>
        <v>0</v>
      </c>
      <c r="DG74" s="54">
        <f t="shared" si="97"/>
        <v>0</v>
      </c>
      <c r="DH74" s="24">
        <f t="shared" si="97"/>
        <v>0</v>
      </c>
    </row>
    <row r="75" spans="1:112" ht="33.75" customHeight="1" x14ac:dyDescent="0.25">
      <c r="A75" s="229"/>
      <c r="B75" s="243"/>
      <c r="C75" s="20" t="s">
        <v>221</v>
      </c>
      <c r="D75" s="21" t="s">
        <v>222</v>
      </c>
      <c r="E75" s="22">
        <v>520</v>
      </c>
      <c r="F75" s="23" t="s">
        <v>76</v>
      </c>
      <c r="G75" s="24">
        <f t="shared" si="74"/>
        <v>1000000</v>
      </c>
      <c r="H75" s="33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>
        <f>3000000-2000000</f>
        <v>1000000</v>
      </c>
      <c r="AA75" s="25">
        <f t="shared" si="89"/>
        <v>1</v>
      </c>
      <c r="AB75" s="24">
        <f t="shared" si="88"/>
        <v>1000000</v>
      </c>
      <c r="AC75" s="24"/>
      <c r="AD75" s="24"/>
      <c r="AE75" s="24"/>
      <c r="AF75" s="24"/>
      <c r="AG75" s="24"/>
      <c r="AH75" s="24"/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>
        <f>+'[8]ABRIL 2016'!$G$1547</f>
        <v>1000000</v>
      </c>
      <c r="AW75" s="25">
        <f t="shared" si="91"/>
        <v>0</v>
      </c>
      <c r="AX75" s="24">
        <f t="shared" si="75"/>
        <v>0</v>
      </c>
      <c r="AY75" s="24">
        <f t="shared" si="76"/>
        <v>0</v>
      </c>
      <c r="AZ75" s="24">
        <f t="shared" si="76"/>
        <v>0</v>
      </c>
      <c r="BA75" s="24">
        <f t="shared" si="76"/>
        <v>0</v>
      </c>
      <c r="BB75" s="24">
        <f t="shared" si="93"/>
        <v>0</v>
      </c>
      <c r="BC75" s="24">
        <f t="shared" si="93"/>
        <v>0</v>
      </c>
      <c r="BD75" s="24">
        <f t="shared" si="93"/>
        <v>0</v>
      </c>
      <c r="BE75" s="24">
        <f t="shared" si="93"/>
        <v>0</v>
      </c>
      <c r="BF75" s="24">
        <f t="shared" si="93"/>
        <v>0</v>
      </c>
      <c r="BG75" s="24">
        <f t="shared" si="93"/>
        <v>0</v>
      </c>
      <c r="BH75" s="24">
        <f t="shared" si="93"/>
        <v>0</v>
      </c>
      <c r="BI75" s="24">
        <f t="shared" si="93"/>
        <v>0</v>
      </c>
      <c r="BJ75" s="24">
        <f t="shared" si="93"/>
        <v>0</v>
      </c>
      <c r="BK75" s="24">
        <f t="shared" si="93"/>
        <v>0</v>
      </c>
      <c r="BL75" s="24">
        <f t="shared" si="93"/>
        <v>0</v>
      </c>
      <c r="BM75" s="24">
        <f t="shared" si="93"/>
        <v>0</v>
      </c>
      <c r="BN75" s="24"/>
      <c r="BO75" s="24"/>
      <c r="BP75" s="24">
        <f t="shared" si="78"/>
        <v>0</v>
      </c>
      <c r="BQ75" s="24">
        <f t="shared" si="94"/>
        <v>0</v>
      </c>
      <c r="BR75" s="25">
        <f t="shared" si="90"/>
        <v>1</v>
      </c>
      <c r="BS75" s="24">
        <f t="shared" si="80"/>
        <v>1000000</v>
      </c>
      <c r="BT75" s="24"/>
      <c r="BU75" s="24"/>
      <c r="BV75" s="24"/>
      <c r="BW75" s="24"/>
      <c r="BX75" s="24"/>
      <c r="BY75" s="24"/>
      <c r="BZ75" s="24"/>
      <c r="CA75" s="24"/>
      <c r="CB75" s="24"/>
      <c r="CC75" s="24"/>
      <c r="CD75" s="24"/>
      <c r="CE75" s="24"/>
      <c r="CF75" s="24"/>
      <c r="CG75" s="24"/>
      <c r="CH75" s="24"/>
      <c r="CI75" s="24"/>
      <c r="CJ75" s="24"/>
      <c r="CK75" s="24"/>
      <c r="CL75" s="24"/>
      <c r="CM75" s="24">
        <f>+'[8]ABRIL 2016'!$H$1547</f>
        <v>1000000</v>
      </c>
      <c r="CN75" s="25">
        <f t="shared" si="81"/>
        <v>0</v>
      </c>
      <c r="CO75" s="24">
        <f t="shared" si="82"/>
        <v>0</v>
      </c>
      <c r="CP75" s="24">
        <f t="shared" si="83"/>
        <v>0</v>
      </c>
      <c r="CQ75" s="24">
        <f t="shared" si="83"/>
        <v>0</v>
      </c>
      <c r="CR75" s="24">
        <f t="shared" si="83"/>
        <v>0</v>
      </c>
      <c r="CS75" s="24">
        <f t="shared" si="83"/>
        <v>0</v>
      </c>
      <c r="CT75" s="24">
        <f t="shared" si="83"/>
        <v>0</v>
      </c>
      <c r="CU75" s="24">
        <f t="shared" si="83"/>
        <v>0</v>
      </c>
      <c r="CV75" s="24">
        <f t="shared" si="95"/>
        <v>0</v>
      </c>
      <c r="CW75" s="24">
        <f t="shared" si="95"/>
        <v>0</v>
      </c>
      <c r="CX75" s="24">
        <f t="shared" si="95"/>
        <v>0</v>
      </c>
      <c r="CY75" s="24">
        <f t="shared" si="85"/>
        <v>0</v>
      </c>
      <c r="CZ75" s="24">
        <f t="shared" si="85"/>
        <v>0</v>
      </c>
      <c r="DA75" s="24">
        <f t="shared" si="85"/>
        <v>0</v>
      </c>
      <c r="DB75" s="24">
        <f t="shared" si="96"/>
        <v>0</v>
      </c>
      <c r="DC75" s="24">
        <f t="shared" si="96"/>
        <v>0</v>
      </c>
      <c r="DD75" s="24">
        <f t="shared" si="96"/>
        <v>0</v>
      </c>
      <c r="DE75" s="24"/>
      <c r="DF75" s="24">
        <f t="shared" si="97"/>
        <v>0</v>
      </c>
      <c r="DG75" s="54">
        <f t="shared" si="97"/>
        <v>0</v>
      </c>
      <c r="DH75" s="24">
        <f t="shared" si="97"/>
        <v>0</v>
      </c>
    </row>
    <row r="76" spans="1:112" ht="33" customHeight="1" x14ac:dyDescent="0.25">
      <c r="A76" s="229"/>
      <c r="B76" s="243"/>
      <c r="C76" s="20" t="s">
        <v>223</v>
      </c>
      <c r="D76" s="21" t="s">
        <v>224</v>
      </c>
      <c r="E76" s="22">
        <v>520</v>
      </c>
      <c r="F76" s="23" t="s">
        <v>91</v>
      </c>
      <c r="G76" s="24">
        <f t="shared" si="74"/>
        <v>0</v>
      </c>
      <c r="H76" s="33"/>
      <c r="I76" s="24"/>
      <c r="J76" s="24"/>
      <c r="K76" s="24">
        <f>5000000-5000000</f>
        <v>0</v>
      </c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5" t="e">
        <f t="shared" si="89"/>
        <v>#DIV/0!</v>
      </c>
      <c r="AB76" s="24">
        <f t="shared" si="88"/>
        <v>0</v>
      </c>
      <c r="AC76" s="24"/>
      <c r="AD76" s="24"/>
      <c r="AE76" s="24"/>
      <c r="AF76" s="24"/>
      <c r="AG76" s="24"/>
      <c r="AH76" s="24"/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5" t="e">
        <f t="shared" si="91"/>
        <v>#DIV/0!</v>
      </c>
      <c r="AX76" s="24">
        <f t="shared" si="75"/>
        <v>0</v>
      </c>
      <c r="AY76" s="24">
        <f t="shared" si="76"/>
        <v>0</v>
      </c>
      <c r="AZ76" s="24">
        <f t="shared" si="76"/>
        <v>0</v>
      </c>
      <c r="BA76" s="24">
        <f t="shared" si="76"/>
        <v>0</v>
      </c>
      <c r="BB76" s="24">
        <f t="shared" si="93"/>
        <v>0</v>
      </c>
      <c r="BC76" s="24"/>
      <c r="BD76" s="24"/>
      <c r="BE76" s="24"/>
      <c r="BF76" s="24"/>
      <c r="BG76" s="24"/>
      <c r="BH76" s="24">
        <f t="shared" si="93"/>
        <v>0</v>
      </c>
      <c r="BI76" s="24">
        <f t="shared" si="93"/>
        <v>0</v>
      </c>
      <c r="BJ76" s="24">
        <f t="shared" si="93"/>
        <v>0</v>
      </c>
      <c r="BK76" s="24"/>
      <c r="BL76" s="24">
        <f t="shared" si="93"/>
        <v>0</v>
      </c>
      <c r="BM76" s="24">
        <f t="shared" si="93"/>
        <v>0</v>
      </c>
      <c r="BN76" s="24"/>
      <c r="BO76" s="24"/>
      <c r="BP76" s="24">
        <f t="shared" si="78"/>
        <v>0</v>
      </c>
      <c r="BQ76" s="24">
        <f t="shared" si="94"/>
        <v>0</v>
      </c>
      <c r="BR76" s="25" t="e">
        <f t="shared" si="90"/>
        <v>#DIV/0!</v>
      </c>
      <c r="BS76" s="24">
        <f t="shared" si="80"/>
        <v>0</v>
      </c>
      <c r="BT76" s="24"/>
      <c r="BU76" s="24"/>
      <c r="BV76" s="24"/>
      <c r="BW76" s="24"/>
      <c r="BX76" s="24"/>
      <c r="BY76" s="24"/>
      <c r="BZ76" s="24"/>
      <c r="CA76" s="24"/>
      <c r="CB76" s="24"/>
      <c r="CC76" s="24"/>
      <c r="CD76" s="24"/>
      <c r="CE76" s="24"/>
      <c r="CF76" s="24"/>
      <c r="CG76" s="24"/>
      <c r="CH76" s="24"/>
      <c r="CI76" s="24"/>
      <c r="CJ76" s="24"/>
      <c r="CK76" s="24"/>
      <c r="CL76" s="24"/>
      <c r="CM76" s="24"/>
      <c r="CN76" s="25" t="e">
        <f t="shared" si="81"/>
        <v>#DIV/0!</v>
      </c>
      <c r="CO76" s="24">
        <f t="shared" si="82"/>
        <v>0</v>
      </c>
      <c r="CP76" s="24">
        <f t="shared" si="83"/>
        <v>0</v>
      </c>
      <c r="CQ76" s="24">
        <f t="shared" si="83"/>
        <v>0</v>
      </c>
      <c r="CR76" s="24">
        <f t="shared" si="83"/>
        <v>0</v>
      </c>
      <c r="CS76" s="24">
        <f t="shared" si="83"/>
        <v>0</v>
      </c>
      <c r="CT76" s="24"/>
      <c r="CU76" s="24"/>
      <c r="CV76" s="24"/>
      <c r="CW76" s="24"/>
      <c r="CX76" s="24"/>
      <c r="CY76" s="24">
        <f t="shared" si="85"/>
        <v>0</v>
      </c>
      <c r="CZ76" s="24">
        <f t="shared" si="85"/>
        <v>0</v>
      </c>
      <c r="DA76" s="24">
        <f t="shared" si="85"/>
        <v>0</v>
      </c>
      <c r="DB76" s="24">
        <f t="shared" si="96"/>
        <v>0</v>
      </c>
      <c r="DC76" s="24">
        <f t="shared" si="96"/>
        <v>0</v>
      </c>
      <c r="DD76" s="24">
        <f t="shared" si="96"/>
        <v>0</v>
      </c>
      <c r="DE76" s="24"/>
      <c r="DF76" s="24"/>
      <c r="DG76" s="54"/>
      <c r="DH76" s="24">
        <f t="shared" si="97"/>
        <v>0</v>
      </c>
    </row>
    <row r="77" spans="1:112" ht="22.5" customHeight="1" x14ac:dyDescent="0.25">
      <c r="A77" s="229"/>
      <c r="B77" s="243"/>
      <c r="C77" s="20" t="s">
        <v>225</v>
      </c>
      <c r="D77" s="21" t="s">
        <v>226</v>
      </c>
      <c r="E77" s="22">
        <v>520</v>
      </c>
      <c r="F77" s="23" t="s">
        <v>91</v>
      </c>
      <c r="G77" s="24">
        <f t="shared" si="74"/>
        <v>0</v>
      </c>
      <c r="H77" s="33"/>
      <c r="I77" s="24"/>
      <c r="J77" s="24"/>
      <c r="K77" s="24">
        <f>5000000-5000000</f>
        <v>0</v>
      </c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5" t="e">
        <f t="shared" si="89"/>
        <v>#DIV/0!</v>
      </c>
      <c r="AB77" s="24">
        <f t="shared" si="88"/>
        <v>0</v>
      </c>
      <c r="AC77" s="24"/>
      <c r="AD77" s="24"/>
      <c r="AE77" s="24"/>
      <c r="AF77" s="24"/>
      <c r="AG77" s="24"/>
      <c r="AH77" s="24"/>
      <c r="AI77" s="24"/>
      <c r="AJ77" s="24"/>
      <c r="AK77" s="24"/>
      <c r="AL77" s="24"/>
      <c r="AM77" s="24"/>
      <c r="AN77" s="24"/>
      <c r="AO77" s="24"/>
      <c r="AP77" s="24"/>
      <c r="AQ77" s="24"/>
      <c r="AR77" s="24"/>
      <c r="AS77" s="24"/>
      <c r="AT77" s="24"/>
      <c r="AU77" s="24"/>
      <c r="AV77" s="24"/>
      <c r="AW77" s="25" t="e">
        <f t="shared" si="91"/>
        <v>#DIV/0!</v>
      </c>
      <c r="AX77" s="24">
        <f t="shared" si="75"/>
        <v>0</v>
      </c>
      <c r="AY77" s="24">
        <f t="shared" si="76"/>
        <v>0</v>
      </c>
      <c r="AZ77" s="24">
        <f t="shared" si="76"/>
        <v>0</v>
      </c>
      <c r="BA77" s="24">
        <f t="shared" si="76"/>
        <v>0</v>
      </c>
      <c r="BB77" s="24">
        <f t="shared" si="93"/>
        <v>0</v>
      </c>
      <c r="BC77" s="24"/>
      <c r="BD77" s="24"/>
      <c r="BE77" s="24"/>
      <c r="BF77" s="24"/>
      <c r="BG77" s="24"/>
      <c r="BH77" s="24">
        <f t="shared" si="93"/>
        <v>0</v>
      </c>
      <c r="BI77" s="24">
        <f t="shared" si="93"/>
        <v>0</v>
      </c>
      <c r="BJ77" s="24">
        <f t="shared" si="93"/>
        <v>0</v>
      </c>
      <c r="BK77" s="24"/>
      <c r="BL77" s="24">
        <f t="shared" si="93"/>
        <v>0</v>
      </c>
      <c r="BM77" s="24">
        <f t="shared" si="93"/>
        <v>0</v>
      </c>
      <c r="BN77" s="24"/>
      <c r="BO77" s="24"/>
      <c r="BP77" s="24">
        <f t="shared" si="78"/>
        <v>0</v>
      </c>
      <c r="BQ77" s="24">
        <f t="shared" si="94"/>
        <v>0</v>
      </c>
      <c r="BR77" s="25" t="e">
        <f t="shared" si="90"/>
        <v>#DIV/0!</v>
      </c>
      <c r="BS77" s="24">
        <f t="shared" si="80"/>
        <v>0</v>
      </c>
      <c r="BT77" s="24"/>
      <c r="BU77" s="24"/>
      <c r="BV77" s="24"/>
      <c r="BW77" s="24"/>
      <c r="BX77" s="24"/>
      <c r="BY77" s="24"/>
      <c r="BZ77" s="24"/>
      <c r="CA77" s="24"/>
      <c r="CB77" s="24"/>
      <c r="CC77" s="24"/>
      <c r="CD77" s="24"/>
      <c r="CE77" s="24"/>
      <c r="CF77" s="24"/>
      <c r="CG77" s="24"/>
      <c r="CH77" s="24"/>
      <c r="CI77" s="24"/>
      <c r="CJ77" s="24"/>
      <c r="CK77" s="24"/>
      <c r="CL77" s="24"/>
      <c r="CM77" s="24"/>
      <c r="CN77" s="25" t="e">
        <f t="shared" si="81"/>
        <v>#DIV/0!</v>
      </c>
      <c r="CO77" s="24">
        <f t="shared" si="82"/>
        <v>0</v>
      </c>
      <c r="CP77" s="24">
        <f t="shared" ref="CP77:CU92" si="98">H77-BU77</f>
        <v>0</v>
      </c>
      <c r="CQ77" s="24">
        <f t="shared" si="98"/>
        <v>0</v>
      </c>
      <c r="CR77" s="24">
        <f t="shared" si="98"/>
        <v>0</v>
      </c>
      <c r="CS77" s="24">
        <f t="shared" si="98"/>
        <v>0</v>
      </c>
      <c r="CT77" s="24"/>
      <c r="CU77" s="24"/>
      <c r="CV77" s="24"/>
      <c r="CW77" s="24"/>
      <c r="CX77" s="24"/>
      <c r="CY77" s="24">
        <f t="shared" si="85"/>
        <v>0</v>
      </c>
      <c r="CZ77" s="24">
        <f t="shared" si="85"/>
        <v>0</v>
      </c>
      <c r="DA77" s="24">
        <f t="shared" si="85"/>
        <v>0</v>
      </c>
      <c r="DB77" s="24">
        <f t="shared" si="96"/>
        <v>0</v>
      </c>
      <c r="DC77" s="24">
        <f t="shared" si="96"/>
        <v>0</v>
      </c>
      <c r="DD77" s="24">
        <f t="shared" si="96"/>
        <v>0</v>
      </c>
      <c r="DE77" s="24"/>
      <c r="DF77" s="24"/>
      <c r="DG77" s="54"/>
      <c r="DH77" s="24">
        <f t="shared" si="97"/>
        <v>0</v>
      </c>
    </row>
    <row r="78" spans="1:112" ht="21" customHeight="1" x14ac:dyDescent="0.25">
      <c r="A78" s="229"/>
      <c r="B78" s="243"/>
      <c r="C78" s="20" t="s">
        <v>227</v>
      </c>
      <c r="D78" s="21" t="s">
        <v>228</v>
      </c>
      <c r="E78" s="22">
        <v>520</v>
      </c>
      <c r="F78" s="23" t="s">
        <v>91</v>
      </c>
      <c r="G78" s="24">
        <f t="shared" si="74"/>
        <v>27029250</v>
      </c>
      <c r="H78" s="33"/>
      <c r="I78" s="24"/>
      <c r="J78" s="24"/>
      <c r="K78" s="24">
        <f>5000000+10000000+12029250</f>
        <v>27029250</v>
      </c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5">
        <f t="shared" si="89"/>
        <v>0.99725575071450379</v>
      </c>
      <c r="AB78" s="24">
        <f t="shared" si="88"/>
        <v>26955075</v>
      </c>
      <c r="AC78" s="24"/>
      <c r="AD78" s="24"/>
      <c r="AE78" s="24"/>
      <c r="AF78" s="24"/>
      <c r="AG78" s="24">
        <f>+'[1]SEPTIEMBRE 2016'!$O$3457</f>
        <v>26955075</v>
      </c>
      <c r="AH78" s="24"/>
      <c r="AI78" s="24"/>
      <c r="AJ78" s="24"/>
      <c r="AK78" s="24"/>
      <c r="AL78" s="24"/>
      <c r="AM78" s="24"/>
      <c r="AN78" s="24"/>
      <c r="AO78" s="24"/>
      <c r="AP78" s="24"/>
      <c r="AQ78" s="24"/>
      <c r="AR78" s="24"/>
      <c r="AS78" s="24"/>
      <c r="AT78" s="24"/>
      <c r="AU78" s="24"/>
      <c r="AV78" s="24"/>
      <c r="AW78" s="25">
        <f t="shared" si="91"/>
        <v>2.7442492854962142E-3</v>
      </c>
      <c r="AX78" s="24">
        <f t="shared" si="75"/>
        <v>74175</v>
      </c>
      <c r="AY78" s="24">
        <f t="shared" si="76"/>
        <v>0</v>
      </c>
      <c r="AZ78" s="24">
        <f t="shared" si="76"/>
        <v>0</v>
      </c>
      <c r="BA78" s="24">
        <f t="shared" si="76"/>
        <v>0</v>
      </c>
      <c r="BB78" s="24">
        <f t="shared" si="93"/>
        <v>74175</v>
      </c>
      <c r="BC78" s="24"/>
      <c r="BD78" s="24"/>
      <c r="BE78" s="24"/>
      <c r="BF78" s="24"/>
      <c r="BG78" s="24"/>
      <c r="BH78" s="24">
        <f t="shared" si="93"/>
        <v>0</v>
      </c>
      <c r="BI78" s="24">
        <f t="shared" si="93"/>
        <v>0</v>
      </c>
      <c r="BJ78" s="24">
        <f t="shared" si="93"/>
        <v>0</v>
      </c>
      <c r="BK78" s="24">
        <f t="shared" si="93"/>
        <v>0</v>
      </c>
      <c r="BL78" s="24">
        <f t="shared" si="93"/>
        <v>0</v>
      </c>
      <c r="BM78" s="24">
        <f t="shared" si="93"/>
        <v>0</v>
      </c>
      <c r="BN78" s="24"/>
      <c r="BO78" s="24"/>
      <c r="BP78" s="24">
        <f t="shared" si="78"/>
        <v>0</v>
      </c>
      <c r="BQ78" s="24">
        <f t="shared" si="94"/>
        <v>0</v>
      </c>
      <c r="BR78" s="25">
        <f t="shared" si="90"/>
        <v>0.99725575071450379</v>
      </c>
      <c r="BS78" s="24">
        <f t="shared" si="80"/>
        <v>26955075</v>
      </c>
      <c r="BT78" s="24"/>
      <c r="BU78" s="24"/>
      <c r="BV78" s="24"/>
      <c r="BW78" s="24"/>
      <c r="BX78" s="24">
        <f>+'[1]SEPTIEMBRE 2016'!$H$3455</f>
        <v>26955075</v>
      </c>
      <c r="BY78" s="24"/>
      <c r="BZ78" s="24"/>
      <c r="CA78" s="24"/>
      <c r="CB78" s="24"/>
      <c r="CC78" s="24"/>
      <c r="CD78" s="24"/>
      <c r="CE78" s="24"/>
      <c r="CF78" s="24"/>
      <c r="CG78" s="24"/>
      <c r="CH78" s="24"/>
      <c r="CI78" s="24"/>
      <c r="CJ78" s="24"/>
      <c r="CK78" s="24"/>
      <c r="CL78" s="24"/>
      <c r="CM78" s="24"/>
      <c r="CN78" s="25">
        <f t="shared" si="81"/>
        <v>2.7442492854962142E-3</v>
      </c>
      <c r="CO78" s="24">
        <f t="shared" si="82"/>
        <v>74175</v>
      </c>
      <c r="CP78" s="24">
        <f t="shared" si="98"/>
        <v>0</v>
      </c>
      <c r="CQ78" s="24">
        <f t="shared" si="98"/>
        <v>0</v>
      </c>
      <c r="CR78" s="24">
        <f t="shared" si="98"/>
        <v>0</v>
      </c>
      <c r="CS78" s="24">
        <f t="shared" si="98"/>
        <v>74175</v>
      </c>
      <c r="CT78" s="24"/>
      <c r="CU78" s="24"/>
      <c r="CV78" s="24"/>
      <c r="CW78" s="24"/>
      <c r="CX78" s="24"/>
      <c r="CY78" s="24">
        <f t="shared" si="85"/>
        <v>0</v>
      </c>
      <c r="CZ78" s="24">
        <f t="shared" si="85"/>
        <v>0</v>
      </c>
      <c r="DA78" s="24">
        <f t="shared" si="85"/>
        <v>0</v>
      </c>
      <c r="DB78" s="24">
        <f t="shared" si="96"/>
        <v>0</v>
      </c>
      <c r="DC78" s="24">
        <f t="shared" si="96"/>
        <v>0</v>
      </c>
      <c r="DD78" s="24">
        <f t="shared" si="96"/>
        <v>0</v>
      </c>
      <c r="DE78" s="24"/>
      <c r="DF78" s="24"/>
      <c r="DG78" s="54"/>
      <c r="DH78" s="24">
        <f t="shared" si="97"/>
        <v>0</v>
      </c>
    </row>
    <row r="79" spans="1:112" ht="21.75" customHeight="1" x14ac:dyDescent="0.25">
      <c r="A79" s="229"/>
      <c r="B79" s="244"/>
      <c r="C79" s="20" t="s">
        <v>229</v>
      </c>
      <c r="D79" s="21" t="s">
        <v>230</v>
      </c>
      <c r="E79" s="22">
        <v>520</v>
      </c>
      <c r="F79" s="23" t="s">
        <v>91</v>
      </c>
      <c r="G79" s="24">
        <f t="shared" si="74"/>
        <v>5000000</v>
      </c>
      <c r="H79" s="33"/>
      <c r="I79" s="24"/>
      <c r="J79" s="24"/>
      <c r="K79" s="24">
        <v>5000000</v>
      </c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5">
        <f t="shared" si="89"/>
        <v>0.74168699999999999</v>
      </c>
      <c r="AB79" s="24">
        <f t="shared" si="88"/>
        <v>3708435</v>
      </c>
      <c r="AC79" s="24"/>
      <c r="AD79" s="24"/>
      <c r="AE79" s="24"/>
      <c r="AF79" s="24"/>
      <c r="AG79" s="24">
        <f>+'[4]AGOSTO 2016'!$O$2947</f>
        <v>3708435</v>
      </c>
      <c r="AH79" s="24"/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  <c r="AU79" s="24"/>
      <c r="AV79" s="24"/>
      <c r="AW79" s="25">
        <f t="shared" si="91"/>
        <v>0.25831300000000001</v>
      </c>
      <c r="AX79" s="24">
        <f t="shared" si="75"/>
        <v>1291565</v>
      </c>
      <c r="AY79" s="24">
        <f t="shared" si="76"/>
        <v>0</v>
      </c>
      <c r="AZ79" s="24">
        <f t="shared" si="76"/>
        <v>0</v>
      </c>
      <c r="BA79" s="24">
        <f t="shared" si="76"/>
        <v>0</v>
      </c>
      <c r="BB79" s="24">
        <f t="shared" si="93"/>
        <v>1291565</v>
      </c>
      <c r="BC79" s="24"/>
      <c r="BD79" s="24"/>
      <c r="BE79" s="24"/>
      <c r="BF79" s="24"/>
      <c r="BG79" s="24"/>
      <c r="BH79" s="24">
        <f t="shared" si="93"/>
        <v>0</v>
      </c>
      <c r="BI79" s="24">
        <f t="shared" si="93"/>
        <v>0</v>
      </c>
      <c r="BJ79" s="24">
        <f t="shared" si="93"/>
        <v>0</v>
      </c>
      <c r="BK79" s="24">
        <f t="shared" si="93"/>
        <v>0</v>
      </c>
      <c r="BL79" s="24">
        <f t="shared" si="93"/>
        <v>0</v>
      </c>
      <c r="BM79" s="24">
        <f t="shared" si="93"/>
        <v>0</v>
      </c>
      <c r="BN79" s="24"/>
      <c r="BO79" s="24"/>
      <c r="BP79" s="24">
        <f t="shared" si="78"/>
        <v>0</v>
      </c>
      <c r="BQ79" s="24">
        <f t="shared" si="94"/>
        <v>0</v>
      </c>
      <c r="BR79" s="25">
        <f t="shared" si="90"/>
        <v>0.74168699999999999</v>
      </c>
      <c r="BS79" s="24">
        <f t="shared" si="80"/>
        <v>3708435</v>
      </c>
      <c r="BT79" s="24"/>
      <c r="BU79" s="24"/>
      <c r="BV79" s="24"/>
      <c r="BW79" s="24"/>
      <c r="BX79" s="24">
        <f>+'[4]AGOSTO 2016'!$H$2945</f>
        <v>3708435</v>
      </c>
      <c r="BY79" s="24"/>
      <c r="BZ79" s="24"/>
      <c r="CA79" s="24"/>
      <c r="CB79" s="24"/>
      <c r="CC79" s="24"/>
      <c r="CD79" s="24"/>
      <c r="CE79" s="24"/>
      <c r="CF79" s="24"/>
      <c r="CG79" s="24"/>
      <c r="CH79" s="24"/>
      <c r="CI79" s="24"/>
      <c r="CJ79" s="24"/>
      <c r="CK79" s="24"/>
      <c r="CL79" s="24"/>
      <c r="CM79" s="24"/>
      <c r="CN79" s="25">
        <f t="shared" si="81"/>
        <v>0.25831300000000001</v>
      </c>
      <c r="CO79" s="24">
        <f t="shared" si="82"/>
        <v>1291565</v>
      </c>
      <c r="CP79" s="24">
        <f t="shared" si="98"/>
        <v>0</v>
      </c>
      <c r="CQ79" s="24">
        <f t="shared" si="98"/>
        <v>0</v>
      </c>
      <c r="CR79" s="24">
        <f t="shared" si="98"/>
        <v>0</v>
      </c>
      <c r="CS79" s="24">
        <f t="shared" si="98"/>
        <v>1291565</v>
      </c>
      <c r="CT79" s="24"/>
      <c r="CU79" s="24"/>
      <c r="CV79" s="24"/>
      <c r="CW79" s="24"/>
      <c r="CX79" s="24"/>
      <c r="CY79" s="24">
        <f t="shared" si="85"/>
        <v>0</v>
      </c>
      <c r="CZ79" s="24">
        <f t="shared" si="85"/>
        <v>0</v>
      </c>
      <c r="DA79" s="24">
        <f t="shared" si="85"/>
        <v>0</v>
      </c>
      <c r="DB79" s="24">
        <f t="shared" si="96"/>
        <v>0</v>
      </c>
      <c r="DC79" s="24">
        <f t="shared" si="96"/>
        <v>0</v>
      </c>
      <c r="DD79" s="24">
        <f t="shared" si="96"/>
        <v>0</v>
      </c>
      <c r="DE79" s="24"/>
      <c r="DF79" s="24"/>
      <c r="DG79" s="54"/>
      <c r="DH79" s="24">
        <f t="shared" si="97"/>
        <v>0</v>
      </c>
    </row>
    <row r="80" spans="1:112" ht="34.5" customHeight="1" x14ac:dyDescent="0.25">
      <c r="A80" s="229"/>
      <c r="B80" s="231" t="s">
        <v>231</v>
      </c>
      <c r="C80" s="20" t="s">
        <v>232</v>
      </c>
      <c r="D80" s="21" t="s">
        <v>233</v>
      </c>
      <c r="E80" s="22">
        <v>520</v>
      </c>
      <c r="F80" s="23" t="s">
        <v>91</v>
      </c>
      <c r="G80" s="24">
        <f t="shared" si="74"/>
        <v>10000000</v>
      </c>
      <c r="H80" s="33"/>
      <c r="I80" s="24"/>
      <c r="J80" s="24"/>
      <c r="K80" s="24">
        <v>10000000</v>
      </c>
      <c r="L80" s="24"/>
      <c r="M80" s="24"/>
      <c r="N80" s="24"/>
      <c r="O80" s="24"/>
      <c r="P80" s="24"/>
      <c r="Q80" s="24"/>
      <c r="R80" s="24"/>
      <c r="S80" s="45"/>
      <c r="T80" s="24"/>
      <c r="U80" s="24"/>
      <c r="V80" s="24"/>
      <c r="W80" s="24"/>
      <c r="X80" s="24"/>
      <c r="Y80" s="24"/>
      <c r="Z80" s="24"/>
      <c r="AA80" s="25">
        <f t="shared" si="89"/>
        <v>1</v>
      </c>
      <c r="AB80" s="24">
        <f t="shared" si="88"/>
        <v>10000000</v>
      </c>
      <c r="AC80" s="24"/>
      <c r="AD80" s="24"/>
      <c r="AE80" s="24"/>
      <c r="AF80" s="24"/>
      <c r="AG80" s="24">
        <f>+'[5]JULIO 2016'!$O$2299</f>
        <v>10000000</v>
      </c>
      <c r="AH80" s="24"/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  <c r="AW80" s="25">
        <f t="shared" si="91"/>
        <v>0</v>
      </c>
      <c r="AX80" s="24">
        <f t="shared" si="75"/>
        <v>0</v>
      </c>
      <c r="AY80" s="24">
        <f t="shared" si="76"/>
        <v>0</v>
      </c>
      <c r="AZ80" s="24">
        <f t="shared" si="76"/>
        <v>0</v>
      </c>
      <c r="BA80" s="24">
        <f t="shared" si="76"/>
        <v>0</v>
      </c>
      <c r="BB80" s="24">
        <f t="shared" si="93"/>
        <v>0</v>
      </c>
      <c r="BC80" s="24">
        <f t="shared" si="93"/>
        <v>0</v>
      </c>
      <c r="BD80" s="24">
        <f t="shared" si="93"/>
        <v>0</v>
      </c>
      <c r="BE80" s="24">
        <f t="shared" si="93"/>
        <v>0</v>
      </c>
      <c r="BF80" s="24">
        <f t="shared" si="93"/>
        <v>0</v>
      </c>
      <c r="BG80" s="24">
        <f t="shared" si="93"/>
        <v>0</v>
      </c>
      <c r="BH80" s="24">
        <f t="shared" si="93"/>
        <v>0</v>
      </c>
      <c r="BI80" s="24">
        <f t="shared" si="93"/>
        <v>0</v>
      </c>
      <c r="BJ80" s="24">
        <f t="shared" si="93"/>
        <v>0</v>
      </c>
      <c r="BK80" s="24">
        <f t="shared" si="93"/>
        <v>0</v>
      </c>
      <c r="BL80" s="24">
        <f t="shared" si="93"/>
        <v>0</v>
      </c>
      <c r="BM80" s="24">
        <f t="shared" si="93"/>
        <v>0</v>
      </c>
      <c r="BN80" s="24"/>
      <c r="BO80" s="24"/>
      <c r="BP80" s="24">
        <f t="shared" si="78"/>
        <v>0</v>
      </c>
      <c r="BQ80" s="24">
        <f t="shared" si="94"/>
        <v>0</v>
      </c>
      <c r="BR80" s="25">
        <f t="shared" si="90"/>
        <v>1</v>
      </c>
      <c r="BS80" s="24">
        <f t="shared" si="80"/>
        <v>10000000</v>
      </c>
      <c r="BT80" s="24"/>
      <c r="BU80" s="24"/>
      <c r="BV80" s="24"/>
      <c r="BW80" s="24"/>
      <c r="BX80" s="24">
        <f>+'[5]JULIO 2016'!$H$2297</f>
        <v>10000000</v>
      </c>
      <c r="BY80" s="24"/>
      <c r="BZ80" s="24"/>
      <c r="CA80" s="24"/>
      <c r="CB80" s="24"/>
      <c r="CC80" s="24"/>
      <c r="CD80" s="24"/>
      <c r="CE80" s="24"/>
      <c r="CF80" s="24"/>
      <c r="CG80" s="24"/>
      <c r="CH80" s="24"/>
      <c r="CI80" s="24"/>
      <c r="CJ80" s="24"/>
      <c r="CK80" s="24"/>
      <c r="CL80" s="24"/>
      <c r="CM80" s="24"/>
      <c r="CN80" s="25">
        <f t="shared" si="81"/>
        <v>0</v>
      </c>
      <c r="CO80" s="24">
        <f t="shared" si="82"/>
        <v>0</v>
      </c>
      <c r="CP80" s="24">
        <f t="shared" si="98"/>
        <v>0</v>
      </c>
      <c r="CQ80" s="24">
        <f t="shared" si="98"/>
        <v>0</v>
      </c>
      <c r="CR80" s="24">
        <f t="shared" si="98"/>
        <v>0</v>
      </c>
      <c r="CS80" s="24">
        <f t="shared" si="98"/>
        <v>0</v>
      </c>
      <c r="CT80" s="24">
        <f t="shared" si="98"/>
        <v>0</v>
      </c>
      <c r="CU80" s="24">
        <f t="shared" si="98"/>
        <v>0</v>
      </c>
      <c r="CV80" s="24">
        <f t="shared" ref="CV80:CX84" si="99">+N80-CA80</f>
        <v>0</v>
      </c>
      <c r="CW80" s="24">
        <f t="shared" si="99"/>
        <v>0</v>
      </c>
      <c r="CX80" s="24">
        <f t="shared" si="99"/>
        <v>0</v>
      </c>
      <c r="CY80" s="24">
        <f t="shared" si="85"/>
        <v>0</v>
      </c>
      <c r="CZ80" s="24">
        <f t="shared" si="85"/>
        <v>0</v>
      </c>
      <c r="DA80" s="24">
        <f t="shared" si="85"/>
        <v>0</v>
      </c>
      <c r="DB80" s="24">
        <f t="shared" si="96"/>
        <v>0</v>
      </c>
      <c r="DC80" s="24">
        <f t="shared" si="96"/>
        <v>0</v>
      </c>
      <c r="DD80" s="24">
        <f t="shared" si="96"/>
        <v>0</v>
      </c>
      <c r="DE80" s="24"/>
      <c r="DF80" s="24">
        <f t="shared" ref="DF80:DG84" si="100">+X80-CK80</f>
        <v>0</v>
      </c>
      <c r="DG80" s="54">
        <f t="shared" si="100"/>
        <v>0</v>
      </c>
      <c r="DH80" s="24">
        <f t="shared" si="97"/>
        <v>0</v>
      </c>
    </row>
    <row r="81" spans="1:114" ht="30.75" customHeight="1" x14ac:dyDescent="0.25">
      <c r="A81" s="229"/>
      <c r="B81" s="233"/>
      <c r="C81" s="20" t="s">
        <v>234</v>
      </c>
      <c r="D81" s="21" t="s">
        <v>235</v>
      </c>
      <c r="E81" s="22">
        <v>520</v>
      </c>
      <c r="F81" s="23" t="s">
        <v>91</v>
      </c>
      <c r="G81" s="24">
        <f>SUM(H81:Z81)</f>
        <v>10000000</v>
      </c>
      <c r="H81" s="33"/>
      <c r="I81" s="33"/>
      <c r="J81" s="33"/>
      <c r="K81" s="24">
        <v>10000000</v>
      </c>
      <c r="L81" s="33"/>
      <c r="M81" s="33"/>
      <c r="N81" s="33"/>
      <c r="O81" s="33"/>
      <c r="P81" s="33"/>
      <c r="Q81" s="28"/>
      <c r="R81" s="33"/>
      <c r="S81" s="45"/>
      <c r="T81" s="33"/>
      <c r="U81" s="33"/>
      <c r="V81" s="33"/>
      <c r="W81" s="33"/>
      <c r="X81" s="33"/>
      <c r="Y81" s="33"/>
      <c r="Z81" s="65"/>
      <c r="AA81" s="25">
        <f t="shared" si="89"/>
        <v>1</v>
      </c>
      <c r="AB81" s="24">
        <f t="shared" si="88"/>
        <v>10000000</v>
      </c>
      <c r="AC81" s="24"/>
      <c r="AD81" s="24"/>
      <c r="AE81" s="24"/>
      <c r="AF81" s="24"/>
      <c r="AG81" s="24">
        <f>+'[5]JULIO 2016'!$O$2306</f>
        <v>10000000</v>
      </c>
      <c r="AH81" s="24"/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  <c r="AW81" s="25">
        <f t="shared" si="91"/>
        <v>0</v>
      </c>
      <c r="AX81" s="24">
        <f t="shared" si="75"/>
        <v>0</v>
      </c>
      <c r="AY81" s="24">
        <f t="shared" si="76"/>
        <v>0</v>
      </c>
      <c r="AZ81" s="24">
        <f t="shared" si="76"/>
        <v>0</v>
      </c>
      <c r="BA81" s="24">
        <f t="shared" si="76"/>
        <v>0</v>
      </c>
      <c r="BB81" s="24">
        <f t="shared" si="93"/>
        <v>0</v>
      </c>
      <c r="BC81" s="24">
        <f t="shared" si="93"/>
        <v>0</v>
      </c>
      <c r="BD81" s="24">
        <f t="shared" si="93"/>
        <v>0</v>
      </c>
      <c r="BE81" s="24">
        <f t="shared" si="93"/>
        <v>0</v>
      </c>
      <c r="BF81" s="24">
        <f t="shared" si="93"/>
        <v>0</v>
      </c>
      <c r="BG81" s="24">
        <f t="shared" si="93"/>
        <v>0</v>
      </c>
      <c r="BH81" s="24">
        <f t="shared" si="93"/>
        <v>0</v>
      </c>
      <c r="BI81" s="24">
        <f t="shared" si="93"/>
        <v>0</v>
      </c>
      <c r="BJ81" s="24">
        <f t="shared" si="93"/>
        <v>0</v>
      </c>
      <c r="BK81" s="24">
        <f t="shared" si="93"/>
        <v>0</v>
      </c>
      <c r="BL81" s="24">
        <f t="shared" si="93"/>
        <v>0</v>
      </c>
      <c r="BM81" s="24">
        <f t="shared" si="93"/>
        <v>0</v>
      </c>
      <c r="BN81" s="24"/>
      <c r="BO81" s="24"/>
      <c r="BP81" s="24">
        <f t="shared" si="78"/>
        <v>0</v>
      </c>
      <c r="BQ81" s="24">
        <f t="shared" si="94"/>
        <v>0</v>
      </c>
      <c r="BR81" s="25">
        <f t="shared" si="90"/>
        <v>0</v>
      </c>
      <c r="BS81" s="24">
        <f t="shared" si="80"/>
        <v>0</v>
      </c>
      <c r="BT81" s="24"/>
      <c r="BU81" s="24"/>
      <c r="BV81" s="24"/>
      <c r="BW81" s="24"/>
      <c r="BX81" s="24"/>
      <c r="BY81" s="24"/>
      <c r="BZ81" s="24"/>
      <c r="CA81" s="24"/>
      <c r="CB81" s="24"/>
      <c r="CC81" s="24"/>
      <c r="CD81" s="24"/>
      <c r="CE81" s="24"/>
      <c r="CF81" s="24"/>
      <c r="CG81" s="24"/>
      <c r="CH81" s="24"/>
      <c r="CI81" s="24"/>
      <c r="CJ81" s="24"/>
      <c r="CK81" s="24"/>
      <c r="CL81" s="24"/>
      <c r="CM81" s="24"/>
      <c r="CN81" s="25">
        <f t="shared" si="81"/>
        <v>1</v>
      </c>
      <c r="CO81" s="24">
        <f t="shared" si="82"/>
        <v>10000000</v>
      </c>
      <c r="CP81" s="24">
        <f t="shared" si="98"/>
        <v>0</v>
      </c>
      <c r="CQ81" s="24">
        <f t="shared" si="98"/>
        <v>0</v>
      </c>
      <c r="CR81" s="24">
        <f t="shared" si="98"/>
        <v>0</v>
      </c>
      <c r="CS81" s="24">
        <f t="shared" si="98"/>
        <v>10000000</v>
      </c>
      <c r="CT81" s="24">
        <f t="shared" si="98"/>
        <v>0</v>
      </c>
      <c r="CU81" s="24">
        <f t="shared" si="98"/>
        <v>0</v>
      </c>
      <c r="CV81" s="24">
        <f t="shared" si="99"/>
        <v>0</v>
      </c>
      <c r="CW81" s="24">
        <f t="shared" si="99"/>
        <v>0</v>
      </c>
      <c r="CX81" s="24">
        <f t="shared" si="99"/>
        <v>0</v>
      </c>
      <c r="CY81" s="24">
        <f t="shared" si="85"/>
        <v>0</v>
      </c>
      <c r="CZ81" s="24">
        <f t="shared" si="85"/>
        <v>0</v>
      </c>
      <c r="DA81" s="24">
        <f t="shared" si="85"/>
        <v>0</v>
      </c>
      <c r="DB81" s="24">
        <f t="shared" si="96"/>
        <v>0</v>
      </c>
      <c r="DC81" s="24">
        <f t="shared" si="96"/>
        <v>0</v>
      </c>
      <c r="DD81" s="24">
        <f t="shared" si="96"/>
        <v>0</v>
      </c>
      <c r="DE81" s="24"/>
      <c r="DF81" s="24">
        <f t="shared" si="100"/>
        <v>0</v>
      </c>
      <c r="DG81" s="54">
        <f t="shared" si="100"/>
        <v>0</v>
      </c>
      <c r="DH81" s="24">
        <f t="shared" si="97"/>
        <v>0</v>
      </c>
    </row>
    <row r="82" spans="1:114" ht="35.25" customHeight="1" x14ac:dyDescent="0.25">
      <c r="A82" s="229"/>
      <c r="B82" s="231" t="s">
        <v>236</v>
      </c>
      <c r="C82" s="20" t="s">
        <v>237</v>
      </c>
      <c r="D82" s="66" t="s">
        <v>238</v>
      </c>
      <c r="E82" s="22">
        <v>520</v>
      </c>
      <c r="F82" s="67" t="s">
        <v>91</v>
      </c>
      <c r="G82" s="24">
        <f t="shared" si="74"/>
        <v>15000000</v>
      </c>
      <c r="H82" s="33"/>
      <c r="I82" s="33"/>
      <c r="J82" s="33"/>
      <c r="K82" s="45">
        <v>10000000</v>
      </c>
      <c r="L82" s="33"/>
      <c r="M82" s="33"/>
      <c r="N82" s="33"/>
      <c r="O82" s="33"/>
      <c r="P82" s="33"/>
      <c r="Q82" s="28"/>
      <c r="R82" s="33"/>
      <c r="S82" s="45">
        <f>25000000-20000000</f>
        <v>5000000</v>
      </c>
      <c r="T82" s="33"/>
      <c r="U82" s="33"/>
      <c r="V82" s="33"/>
      <c r="W82" s="33"/>
      <c r="X82" s="33"/>
      <c r="Y82" s="33"/>
      <c r="Z82" s="65"/>
      <c r="AA82" s="25">
        <f t="shared" si="89"/>
        <v>0.97333333333333338</v>
      </c>
      <c r="AB82" s="24">
        <f t="shared" si="88"/>
        <v>14600000</v>
      </c>
      <c r="AC82" s="24"/>
      <c r="AD82" s="24"/>
      <c r="AE82" s="24"/>
      <c r="AF82" s="24"/>
      <c r="AG82" s="24">
        <f>+'[2]ENERO 2016'!$O$816</f>
        <v>10000000</v>
      </c>
      <c r="AH82" s="24"/>
      <c r="AI82" s="24"/>
      <c r="AJ82" s="24"/>
      <c r="AK82" s="24"/>
      <c r="AL82" s="24"/>
      <c r="AM82" s="24"/>
      <c r="AN82" s="24"/>
      <c r="AO82" s="24">
        <f>+'[4]AGOSTO 2016'!$W$2973</f>
        <v>4600000</v>
      </c>
      <c r="AP82" s="24"/>
      <c r="AQ82" s="24"/>
      <c r="AR82" s="24"/>
      <c r="AS82" s="24"/>
      <c r="AT82" s="24"/>
      <c r="AU82" s="24"/>
      <c r="AV82" s="24"/>
      <c r="AW82" s="25">
        <f t="shared" si="91"/>
        <v>2.6666666666666616E-2</v>
      </c>
      <c r="AX82" s="24">
        <f t="shared" si="75"/>
        <v>400000</v>
      </c>
      <c r="AY82" s="24">
        <f t="shared" si="76"/>
        <v>0</v>
      </c>
      <c r="AZ82" s="24">
        <f t="shared" si="76"/>
        <v>0</v>
      </c>
      <c r="BA82" s="24">
        <f t="shared" si="76"/>
        <v>0</v>
      </c>
      <c r="BB82" s="24">
        <f t="shared" si="93"/>
        <v>0</v>
      </c>
      <c r="BC82" s="24">
        <f t="shared" si="93"/>
        <v>0</v>
      </c>
      <c r="BD82" s="24">
        <f t="shared" si="93"/>
        <v>0</v>
      </c>
      <c r="BE82" s="24">
        <f t="shared" si="93"/>
        <v>0</v>
      </c>
      <c r="BF82" s="24">
        <f t="shared" si="93"/>
        <v>0</v>
      </c>
      <c r="BG82" s="24">
        <f t="shared" si="93"/>
        <v>0</v>
      </c>
      <c r="BH82" s="24">
        <f t="shared" si="93"/>
        <v>0</v>
      </c>
      <c r="BI82" s="24">
        <f t="shared" si="93"/>
        <v>0</v>
      </c>
      <c r="BJ82" s="24">
        <f t="shared" si="93"/>
        <v>400000</v>
      </c>
      <c r="BK82" s="24">
        <f t="shared" si="93"/>
        <v>0</v>
      </c>
      <c r="BL82" s="24">
        <f t="shared" si="93"/>
        <v>0</v>
      </c>
      <c r="BM82" s="24">
        <f t="shared" si="93"/>
        <v>0</v>
      </c>
      <c r="BN82" s="24"/>
      <c r="BO82" s="24"/>
      <c r="BP82" s="24">
        <f t="shared" si="78"/>
        <v>0</v>
      </c>
      <c r="BQ82" s="24">
        <f t="shared" si="94"/>
        <v>0</v>
      </c>
      <c r="BR82" s="25">
        <f t="shared" si="90"/>
        <v>0.97333333333333338</v>
      </c>
      <c r="BS82" s="24">
        <f t="shared" si="80"/>
        <v>14600000</v>
      </c>
      <c r="BT82" s="24"/>
      <c r="BU82" s="24"/>
      <c r="BV82" s="24"/>
      <c r="BW82" s="24"/>
      <c r="BX82" s="24">
        <v>10000000</v>
      </c>
      <c r="BY82" s="24"/>
      <c r="BZ82" s="24"/>
      <c r="CA82" s="24"/>
      <c r="CB82" s="24"/>
      <c r="CC82" s="24"/>
      <c r="CD82" s="24"/>
      <c r="CE82" s="24"/>
      <c r="CF82" s="24">
        <f>+'[4]AGOSTO 2016'!$W$2973</f>
        <v>4600000</v>
      </c>
      <c r="CG82" s="24"/>
      <c r="CH82" s="24"/>
      <c r="CI82" s="24"/>
      <c r="CJ82" s="24"/>
      <c r="CK82" s="24"/>
      <c r="CL82" s="24"/>
      <c r="CM82" s="24"/>
      <c r="CN82" s="25">
        <f t="shared" si="81"/>
        <v>2.6666666666666616E-2</v>
      </c>
      <c r="CO82" s="24">
        <f t="shared" si="82"/>
        <v>400000</v>
      </c>
      <c r="CP82" s="24">
        <f t="shared" si="98"/>
        <v>0</v>
      </c>
      <c r="CQ82" s="24">
        <f t="shared" si="98"/>
        <v>0</v>
      </c>
      <c r="CR82" s="24">
        <f t="shared" si="98"/>
        <v>0</v>
      </c>
      <c r="CS82" s="24">
        <f t="shared" si="98"/>
        <v>0</v>
      </c>
      <c r="CT82" s="24">
        <f t="shared" si="98"/>
        <v>0</v>
      </c>
      <c r="CU82" s="24">
        <f t="shared" si="98"/>
        <v>0</v>
      </c>
      <c r="CV82" s="24">
        <f t="shared" si="99"/>
        <v>0</v>
      </c>
      <c r="CW82" s="24">
        <f t="shared" si="99"/>
        <v>0</v>
      </c>
      <c r="CX82" s="24">
        <f t="shared" si="99"/>
        <v>0</v>
      </c>
      <c r="CY82" s="24">
        <f t="shared" si="85"/>
        <v>0</v>
      </c>
      <c r="CZ82" s="24">
        <f t="shared" si="85"/>
        <v>0</v>
      </c>
      <c r="DA82" s="24">
        <f t="shared" si="85"/>
        <v>400000</v>
      </c>
      <c r="DB82" s="24">
        <f t="shared" si="96"/>
        <v>0</v>
      </c>
      <c r="DC82" s="24">
        <f t="shared" si="96"/>
        <v>0</v>
      </c>
      <c r="DD82" s="24">
        <f t="shared" si="96"/>
        <v>0</v>
      </c>
      <c r="DE82" s="24"/>
      <c r="DF82" s="24">
        <f t="shared" si="100"/>
        <v>0</v>
      </c>
      <c r="DG82" s="54">
        <f t="shared" si="100"/>
        <v>0</v>
      </c>
      <c r="DH82" s="24">
        <f t="shared" si="97"/>
        <v>0</v>
      </c>
    </row>
    <row r="83" spans="1:114" ht="30" x14ac:dyDescent="0.25">
      <c r="A83" s="229"/>
      <c r="B83" s="232"/>
      <c r="C83" s="20" t="s">
        <v>239</v>
      </c>
      <c r="D83" s="66" t="s">
        <v>240</v>
      </c>
      <c r="E83" s="22">
        <v>520</v>
      </c>
      <c r="F83" s="67" t="s">
        <v>91</v>
      </c>
      <c r="G83" s="24">
        <f t="shared" si="74"/>
        <v>20000000</v>
      </c>
      <c r="H83" s="33"/>
      <c r="I83" s="33"/>
      <c r="J83" s="33"/>
      <c r="K83" s="45">
        <v>10000000</v>
      </c>
      <c r="L83" s="33"/>
      <c r="M83" s="33"/>
      <c r="N83" s="33"/>
      <c r="O83" s="33"/>
      <c r="P83" s="33"/>
      <c r="Q83" s="28"/>
      <c r="R83" s="33"/>
      <c r="S83" s="45">
        <v>10000000</v>
      </c>
      <c r="T83" s="33"/>
      <c r="U83" s="33"/>
      <c r="V83" s="33"/>
      <c r="W83" s="33"/>
      <c r="X83" s="33"/>
      <c r="Y83" s="33"/>
      <c r="Z83" s="65"/>
      <c r="AA83" s="25">
        <f t="shared" si="89"/>
        <v>0.38760620000000001</v>
      </c>
      <c r="AB83" s="24">
        <f t="shared" si="88"/>
        <v>7752124</v>
      </c>
      <c r="AC83" s="24"/>
      <c r="AD83" s="24"/>
      <c r="AE83" s="24"/>
      <c r="AF83" s="24"/>
      <c r="AG83" s="24">
        <f>+'[1]SEPTIEMBRE 2016'!$O$3500</f>
        <v>7752124</v>
      </c>
      <c r="AH83" s="24"/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5">
        <f t="shared" si="91"/>
        <v>0.61239379999999999</v>
      </c>
      <c r="AX83" s="24">
        <f t="shared" si="75"/>
        <v>12247876</v>
      </c>
      <c r="AY83" s="24">
        <f t="shared" si="76"/>
        <v>0</v>
      </c>
      <c r="AZ83" s="24">
        <f t="shared" si="76"/>
        <v>0</v>
      </c>
      <c r="BA83" s="24">
        <f t="shared" si="76"/>
        <v>0</v>
      </c>
      <c r="BB83" s="24">
        <f t="shared" si="93"/>
        <v>2247876</v>
      </c>
      <c r="BC83" s="24">
        <f t="shared" si="93"/>
        <v>0</v>
      </c>
      <c r="BD83" s="24">
        <f t="shared" si="93"/>
        <v>0</v>
      </c>
      <c r="BE83" s="24">
        <f t="shared" si="93"/>
        <v>0</v>
      </c>
      <c r="BF83" s="24">
        <f t="shared" si="93"/>
        <v>0</v>
      </c>
      <c r="BG83" s="24">
        <f t="shared" si="93"/>
        <v>0</v>
      </c>
      <c r="BH83" s="24">
        <f t="shared" si="93"/>
        <v>0</v>
      </c>
      <c r="BI83" s="24">
        <f t="shared" si="93"/>
        <v>0</v>
      </c>
      <c r="BJ83" s="24">
        <f t="shared" si="93"/>
        <v>10000000</v>
      </c>
      <c r="BK83" s="24">
        <f t="shared" si="93"/>
        <v>0</v>
      </c>
      <c r="BL83" s="24">
        <f t="shared" si="93"/>
        <v>0</v>
      </c>
      <c r="BM83" s="24">
        <f t="shared" si="93"/>
        <v>0</v>
      </c>
      <c r="BN83" s="24"/>
      <c r="BO83" s="24"/>
      <c r="BP83" s="24">
        <f t="shared" si="78"/>
        <v>0</v>
      </c>
      <c r="BQ83" s="24">
        <f t="shared" si="94"/>
        <v>0</v>
      </c>
      <c r="BR83" s="25">
        <f t="shared" si="90"/>
        <v>0.38760620000000001</v>
      </c>
      <c r="BS83" s="24">
        <f t="shared" si="80"/>
        <v>7752124</v>
      </c>
      <c r="BT83" s="24"/>
      <c r="BU83" s="24"/>
      <c r="BV83" s="24"/>
      <c r="BW83" s="24"/>
      <c r="BX83" s="24">
        <f>+'[1]SEPTIEMBRE 2016'!$H$3498</f>
        <v>7752124</v>
      </c>
      <c r="BY83" s="24"/>
      <c r="BZ83" s="24"/>
      <c r="CA83" s="24"/>
      <c r="CB83" s="24"/>
      <c r="CC83" s="24"/>
      <c r="CD83" s="24"/>
      <c r="CE83" s="24"/>
      <c r="CF83" s="24"/>
      <c r="CG83" s="24"/>
      <c r="CH83" s="24"/>
      <c r="CI83" s="24"/>
      <c r="CJ83" s="24"/>
      <c r="CK83" s="24"/>
      <c r="CL83" s="24"/>
      <c r="CM83" s="24"/>
      <c r="CN83" s="25">
        <f t="shared" si="81"/>
        <v>0.61239379999999999</v>
      </c>
      <c r="CO83" s="24">
        <f t="shared" si="82"/>
        <v>12247876</v>
      </c>
      <c r="CP83" s="24">
        <f t="shared" si="98"/>
        <v>0</v>
      </c>
      <c r="CQ83" s="24">
        <f t="shared" si="98"/>
        <v>0</v>
      </c>
      <c r="CR83" s="24">
        <f t="shared" si="98"/>
        <v>0</v>
      </c>
      <c r="CS83" s="24">
        <f t="shared" si="98"/>
        <v>2247876</v>
      </c>
      <c r="CT83" s="24">
        <f t="shared" si="98"/>
        <v>0</v>
      </c>
      <c r="CU83" s="24">
        <f t="shared" si="98"/>
        <v>0</v>
      </c>
      <c r="CV83" s="24">
        <f t="shared" si="99"/>
        <v>0</v>
      </c>
      <c r="CW83" s="24">
        <f t="shared" si="99"/>
        <v>0</v>
      </c>
      <c r="CX83" s="24">
        <f t="shared" si="99"/>
        <v>0</v>
      </c>
      <c r="CY83" s="24">
        <f t="shared" si="85"/>
        <v>0</v>
      </c>
      <c r="CZ83" s="24">
        <f t="shared" si="85"/>
        <v>0</v>
      </c>
      <c r="DA83" s="24">
        <f t="shared" si="85"/>
        <v>10000000</v>
      </c>
      <c r="DB83" s="24">
        <f t="shared" si="96"/>
        <v>0</v>
      </c>
      <c r="DC83" s="24">
        <f t="shared" si="96"/>
        <v>0</v>
      </c>
      <c r="DD83" s="24">
        <f t="shared" si="96"/>
        <v>0</v>
      </c>
      <c r="DE83" s="24"/>
      <c r="DF83" s="24">
        <f t="shared" si="100"/>
        <v>0</v>
      </c>
      <c r="DG83" s="54">
        <f t="shared" si="100"/>
        <v>0</v>
      </c>
      <c r="DH83" s="24">
        <f t="shared" si="97"/>
        <v>0</v>
      </c>
    </row>
    <row r="84" spans="1:114" ht="30.75" customHeight="1" x14ac:dyDescent="0.25">
      <c r="A84" s="229"/>
      <c r="B84" s="232"/>
      <c r="C84" s="20" t="s">
        <v>241</v>
      </c>
      <c r="D84" s="66" t="s">
        <v>242</v>
      </c>
      <c r="E84" s="22">
        <v>520</v>
      </c>
      <c r="F84" s="67" t="s">
        <v>91</v>
      </c>
      <c r="G84" s="24">
        <f t="shared" si="74"/>
        <v>5000000</v>
      </c>
      <c r="H84" s="33"/>
      <c r="I84" s="33"/>
      <c r="J84" s="33"/>
      <c r="K84" s="24">
        <v>1098558</v>
      </c>
      <c r="L84" s="33"/>
      <c r="M84" s="33"/>
      <c r="N84" s="33"/>
      <c r="O84" s="33"/>
      <c r="P84" s="33"/>
      <c r="Q84" s="28"/>
      <c r="R84" s="33"/>
      <c r="S84" s="45">
        <f>48901442-45000000</f>
        <v>3901442</v>
      </c>
      <c r="T84" s="33"/>
      <c r="U84" s="33"/>
      <c r="V84" s="33"/>
      <c r="W84" s="33"/>
      <c r="X84" s="33"/>
      <c r="Y84" s="33"/>
      <c r="Z84" s="65"/>
      <c r="AA84" s="25">
        <f t="shared" si="89"/>
        <v>0</v>
      </c>
      <c r="AB84" s="24">
        <f t="shared" si="88"/>
        <v>0</v>
      </c>
      <c r="AC84" s="24"/>
      <c r="AD84" s="24"/>
      <c r="AE84" s="24"/>
      <c r="AF84" s="24"/>
      <c r="AG84" s="24"/>
      <c r="AH84" s="24"/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  <c r="AV84" s="24"/>
      <c r="AW84" s="25">
        <f t="shared" si="91"/>
        <v>1</v>
      </c>
      <c r="AX84" s="24">
        <f t="shared" si="75"/>
        <v>5000000</v>
      </c>
      <c r="AY84" s="24">
        <f t="shared" si="76"/>
        <v>0</v>
      </c>
      <c r="AZ84" s="24">
        <f t="shared" si="76"/>
        <v>0</v>
      </c>
      <c r="BA84" s="24">
        <f t="shared" si="76"/>
        <v>0</v>
      </c>
      <c r="BB84" s="24">
        <f t="shared" si="93"/>
        <v>1098558</v>
      </c>
      <c r="BC84" s="24">
        <f t="shared" si="93"/>
        <v>0</v>
      </c>
      <c r="BD84" s="24">
        <f t="shared" si="93"/>
        <v>0</v>
      </c>
      <c r="BE84" s="24">
        <f t="shared" si="93"/>
        <v>0</v>
      </c>
      <c r="BF84" s="24">
        <f t="shared" si="93"/>
        <v>0</v>
      </c>
      <c r="BG84" s="24">
        <f t="shared" si="93"/>
        <v>0</v>
      </c>
      <c r="BH84" s="24">
        <f t="shared" si="93"/>
        <v>0</v>
      </c>
      <c r="BI84" s="24">
        <f t="shared" si="93"/>
        <v>0</v>
      </c>
      <c r="BJ84" s="24">
        <f t="shared" si="93"/>
        <v>3901442</v>
      </c>
      <c r="BK84" s="24">
        <f t="shared" si="93"/>
        <v>0</v>
      </c>
      <c r="BL84" s="24">
        <f t="shared" si="93"/>
        <v>0</v>
      </c>
      <c r="BM84" s="24">
        <f t="shared" si="93"/>
        <v>0</v>
      </c>
      <c r="BN84" s="24"/>
      <c r="BO84" s="24"/>
      <c r="BP84" s="24">
        <f t="shared" si="78"/>
        <v>0</v>
      </c>
      <c r="BQ84" s="24">
        <f t="shared" si="94"/>
        <v>0</v>
      </c>
      <c r="BR84" s="25">
        <f t="shared" si="90"/>
        <v>0</v>
      </c>
      <c r="BS84" s="24">
        <f t="shared" si="80"/>
        <v>0</v>
      </c>
      <c r="BT84" s="24"/>
      <c r="BU84" s="24"/>
      <c r="BV84" s="24"/>
      <c r="BW84" s="24"/>
      <c r="BX84" s="24"/>
      <c r="BY84" s="24"/>
      <c r="BZ84" s="24"/>
      <c r="CA84" s="24"/>
      <c r="CB84" s="24"/>
      <c r="CC84" s="24"/>
      <c r="CD84" s="24"/>
      <c r="CE84" s="24"/>
      <c r="CF84" s="24"/>
      <c r="CG84" s="24"/>
      <c r="CH84" s="24"/>
      <c r="CI84" s="24"/>
      <c r="CJ84" s="24"/>
      <c r="CK84" s="24"/>
      <c r="CL84" s="24"/>
      <c r="CM84" s="24"/>
      <c r="CN84" s="25">
        <f t="shared" si="81"/>
        <v>1</v>
      </c>
      <c r="CO84" s="24">
        <f t="shared" si="82"/>
        <v>5000000</v>
      </c>
      <c r="CP84" s="24">
        <f t="shared" si="98"/>
        <v>0</v>
      </c>
      <c r="CQ84" s="24">
        <f t="shared" si="98"/>
        <v>0</v>
      </c>
      <c r="CR84" s="24">
        <f t="shared" si="98"/>
        <v>0</v>
      </c>
      <c r="CS84" s="24">
        <f t="shared" si="98"/>
        <v>1098558</v>
      </c>
      <c r="CT84" s="24">
        <f t="shared" si="98"/>
        <v>0</v>
      </c>
      <c r="CU84" s="24">
        <f t="shared" si="98"/>
        <v>0</v>
      </c>
      <c r="CV84" s="24">
        <f t="shared" si="99"/>
        <v>0</v>
      </c>
      <c r="CW84" s="24">
        <f t="shared" si="99"/>
        <v>0</v>
      </c>
      <c r="CX84" s="24">
        <f t="shared" si="99"/>
        <v>0</v>
      </c>
      <c r="CY84" s="24">
        <f t="shared" si="85"/>
        <v>0</v>
      </c>
      <c r="CZ84" s="24">
        <f t="shared" si="85"/>
        <v>0</v>
      </c>
      <c r="DA84" s="24">
        <f t="shared" si="85"/>
        <v>3901442</v>
      </c>
      <c r="DB84" s="24">
        <f t="shared" si="96"/>
        <v>0</v>
      </c>
      <c r="DC84" s="24">
        <f t="shared" si="96"/>
        <v>0</v>
      </c>
      <c r="DD84" s="24">
        <f t="shared" si="96"/>
        <v>0</v>
      </c>
      <c r="DE84" s="24"/>
      <c r="DF84" s="24">
        <f t="shared" si="100"/>
        <v>0</v>
      </c>
      <c r="DG84" s="54">
        <f t="shared" si="100"/>
        <v>0</v>
      </c>
      <c r="DH84" s="24">
        <f t="shared" si="97"/>
        <v>0</v>
      </c>
    </row>
    <row r="85" spans="1:114" ht="21" customHeight="1" x14ac:dyDescent="0.25">
      <c r="A85" s="229"/>
      <c r="B85" s="233"/>
      <c r="C85" s="20" t="s">
        <v>243</v>
      </c>
      <c r="D85" s="66" t="s">
        <v>244</v>
      </c>
      <c r="E85" s="22">
        <v>520</v>
      </c>
      <c r="F85" s="67" t="s">
        <v>91</v>
      </c>
      <c r="G85" s="24">
        <f t="shared" si="74"/>
        <v>20000000</v>
      </c>
      <c r="H85" s="33"/>
      <c r="I85" s="33"/>
      <c r="J85" s="33"/>
      <c r="K85" s="24">
        <v>10000000</v>
      </c>
      <c r="L85" s="33"/>
      <c r="M85" s="33"/>
      <c r="N85" s="33"/>
      <c r="O85" s="33"/>
      <c r="P85" s="33"/>
      <c r="Q85" s="28"/>
      <c r="R85" s="33"/>
      <c r="S85" s="45">
        <v>10000000</v>
      </c>
      <c r="T85" s="33"/>
      <c r="U85" s="33"/>
      <c r="V85" s="33"/>
      <c r="W85" s="33"/>
      <c r="X85" s="33"/>
      <c r="Y85" s="33"/>
      <c r="Z85" s="65"/>
      <c r="AA85" s="25">
        <f t="shared" si="89"/>
        <v>0.72813795000000003</v>
      </c>
      <c r="AB85" s="24">
        <f t="shared" si="88"/>
        <v>14562759</v>
      </c>
      <c r="AC85" s="24"/>
      <c r="AD85" s="24"/>
      <c r="AE85" s="24"/>
      <c r="AF85" s="24"/>
      <c r="AG85" s="24">
        <f>+'[8]ABRIL 2016'!$O$1609</f>
        <v>9950000</v>
      </c>
      <c r="AH85" s="24"/>
      <c r="AI85" s="24"/>
      <c r="AJ85" s="24"/>
      <c r="AK85" s="24"/>
      <c r="AL85" s="24"/>
      <c r="AM85" s="24"/>
      <c r="AN85" s="24"/>
      <c r="AO85" s="24">
        <f>+'[4]AGOSTO 2016'!$W$2993</f>
        <v>4612759</v>
      </c>
      <c r="AP85" s="24"/>
      <c r="AQ85" s="24"/>
      <c r="AR85" s="24"/>
      <c r="AS85" s="24"/>
      <c r="AT85" s="24"/>
      <c r="AU85" s="24"/>
      <c r="AV85" s="24"/>
      <c r="AW85" s="25">
        <f t="shared" si="91"/>
        <v>0.27186204999999997</v>
      </c>
      <c r="AX85" s="24">
        <f t="shared" si="75"/>
        <v>5437241</v>
      </c>
      <c r="AY85" s="24">
        <f t="shared" si="76"/>
        <v>0</v>
      </c>
      <c r="AZ85" s="24">
        <f t="shared" si="76"/>
        <v>0</v>
      </c>
      <c r="BA85" s="24">
        <f t="shared" si="76"/>
        <v>0</v>
      </c>
      <c r="BB85" s="24">
        <f t="shared" si="93"/>
        <v>50000</v>
      </c>
      <c r="BC85" s="24">
        <f t="shared" si="93"/>
        <v>0</v>
      </c>
      <c r="BD85" s="24">
        <f t="shared" si="93"/>
        <v>0</v>
      </c>
      <c r="BE85" s="24">
        <f t="shared" si="93"/>
        <v>0</v>
      </c>
      <c r="BF85" s="24">
        <f t="shared" si="93"/>
        <v>0</v>
      </c>
      <c r="BG85" s="24">
        <f t="shared" si="93"/>
        <v>0</v>
      </c>
      <c r="BH85" s="24">
        <f t="shared" si="93"/>
        <v>0</v>
      </c>
      <c r="BI85" s="24">
        <f t="shared" si="93"/>
        <v>0</v>
      </c>
      <c r="BJ85" s="24">
        <f t="shared" si="93"/>
        <v>5387241</v>
      </c>
      <c r="BK85" s="24">
        <f t="shared" si="93"/>
        <v>0</v>
      </c>
      <c r="BL85" s="24">
        <f t="shared" si="93"/>
        <v>0</v>
      </c>
      <c r="BM85" s="24">
        <f t="shared" si="93"/>
        <v>0</v>
      </c>
      <c r="BN85" s="24"/>
      <c r="BO85" s="24">
        <f>+X85-AT85</f>
        <v>0</v>
      </c>
      <c r="BP85" s="24">
        <f t="shared" si="78"/>
        <v>0</v>
      </c>
      <c r="BQ85" s="24">
        <f t="shared" si="94"/>
        <v>0</v>
      </c>
      <c r="BR85" s="25">
        <f t="shared" si="90"/>
        <v>0.72813795000000003</v>
      </c>
      <c r="BS85" s="24">
        <f t="shared" si="80"/>
        <v>14562759</v>
      </c>
      <c r="BT85" s="24"/>
      <c r="BU85" s="24"/>
      <c r="BV85" s="24"/>
      <c r="BW85" s="24"/>
      <c r="BX85" s="24">
        <v>9950000</v>
      </c>
      <c r="BY85" s="24"/>
      <c r="BZ85" s="24"/>
      <c r="CA85" s="24"/>
      <c r="CB85" s="24"/>
      <c r="CC85" s="24"/>
      <c r="CD85" s="24"/>
      <c r="CE85" s="24"/>
      <c r="CF85" s="24">
        <f>+'[4]AGOSTO 2016'!$W$2993</f>
        <v>4612759</v>
      </c>
      <c r="CG85" s="24"/>
      <c r="CH85" s="24"/>
      <c r="CI85" s="24"/>
      <c r="CJ85" s="24"/>
      <c r="CK85" s="24"/>
      <c r="CL85" s="24"/>
      <c r="CM85" s="24"/>
      <c r="CN85" s="25">
        <f t="shared" si="81"/>
        <v>0.27186204999999997</v>
      </c>
      <c r="CO85" s="24">
        <f t="shared" si="82"/>
        <v>5437241</v>
      </c>
      <c r="CP85" s="24">
        <f t="shared" si="98"/>
        <v>0</v>
      </c>
      <c r="CQ85" s="24">
        <f t="shared" si="98"/>
        <v>0</v>
      </c>
      <c r="CR85" s="24">
        <f t="shared" si="98"/>
        <v>0</v>
      </c>
      <c r="CS85" s="24">
        <f t="shared" si="98"/>
        <v>50000</v>
      </c>
      <c r="CT85" s="24">
        <f t="shared" si="98"/>
        <v>0</v>
      </c>
      <c r="CU85" s="24">
        <f t="shared" si="98"/>
        <v>0</v>
      </c>
      <c r="CV85" s="24">
        <f>N85-CA85</f>
        <v>0</v>
      </c>
      <c r="CW85" s="24">
        <f>O85-CB85</f>
        <v>0</v>
      </c>
      <c r="CX85" s="24">
        <f>P85-CC85</f>
        <v>0</v>
      </c>
      <c r="CY85" s="24">
        <f t="shared" si="85"/>
        <v>0</v>
      </c>
      <c r="CZ85" s="24">
        <f t="shared" si="85"/>
        <v>0</v>
      </c>
      <c r="DA85" s="24">
        <f t="shared" si="85"/>
        <v>5387241</v>
      </c>
      <c r="DB85" s="24">
        <f>T85-CG85</f>
        <v>0</v>
      </c>
      <c r="DC85" s="24">
        <f>U85-CH85</f>
        <v>0</v>
      </c>
      <c r="DD85" s="24">
        <f>V85-CI85</f>
        <v>0</v>
      </c>
      <c r="DE85" s="24"/>
      <c r="DF85" s="24">
        <f>X85-CK85</f>
        <v>0</v>
      </c>
      <c r="DG85" s="24">
        <f>Y85-CL85</f>
        <v>0</v>
      </c>
      <c r="DH85" s="24">
        <f>Z85-CM85</f>
        <v>0</v>
      </c>
    </row>
    <row r="86" spans="1:114" s="58" customFormat="1" ht="35.25" customHeight="1" x14ac:dyDescent="0.25">
      <c r="A86" s="229" t="s">
        <v>183</v>
      </c>
      <c r="B86" s="231" t="s">
        <v>245</v>
      </c>
      <c r="C86" s="68" t="s">
        <v>246</v>
      </c>
      <c r="D86" s="21" t="s">
        <v>247</v>
      </c>
      <c r="E86" s="64">
        <v>520</v>
      </c>
      <c r="F86" s="67" t="s">
        <v>91</v>
      </c>
      <c r="G86" s="24">
        <f t="shared" si="74"/>
        <v>6000000</v>
      </c>
      <c r="H86" s="28"/>
      <c r="I86" s="28"/>
      <c r="J86" s="28"/>
      <c r="K86" s="54">
        <v>6000000</v>
      </c>
      <c r="L86" s="28"/>
      <c r="M86" s="28"/>
      <c r="N86" s="28"/>
      <c r="O86" s="28"/>
      <c r="P86" s="28"/>
      <c r="Q86" s="28"/>
      <c r="R86" s="28"/>
      <c r="S86" s="45"/>
      <c r="T86" s="54"/>
      <c r="U86" s="54"/>
      <c r="V86" s="54"/>
      <c r="W86" s="54"/>
      <c r="X86" s="54"/>
      <c r="Y86" s="54"/>
      <c r="Z86" s="54"/>
      <c r="AA86" s="57">
        <f t="shared" si="89"/>
        <v>0.6</v>
      </c>
      <c r="AB86" s="24">
        <f t="shared" si="88"/>
        <v>3600000</v>
      </c>
      <c r="AC86" s="54"/>
      <c r="AD86" s="54"/>
      <c r="AE86" s="54"/>
      <c r="AF86" s="54"/>
      <c r="AG86" s="24">
        <f>+'[1]SEPTIEMBRE 2016'!$O$3529</f>
        <v>3600000</v>
      </c>
      <c r="AH86" s="54"/>
      <c r="AI86" s="54"/>
      <c r="AJ86" s="54"/>
      <c r="AK86" s="54"/>
      <c r="AL86" s="54"/>
      <c r="AM86" s="54"/>
      <c r="AN86" s="54"/>
      <c r="AO86" s="54"/>
      <c r="AP86" s="54"/>
      <c r="AQ86" s="54"/>
      <c r="AR86" s="54"/>
      <c r="AS86" s="54"/>
      <c r="AT86" s="54"/>
      <c r="AU86" s="54"/>
      <c r="AV86" s="54"/>
      <c r="AW86" s="57">
        <f t="shared" si="91"/>
        <v>0.4</v>
      </c>
      <c r="AX86" s="24">
        <f t="shared" si="75"/>
        <v>2400000</v>
      </c>
      <c r="AY86" s="54">
        <f t="shared" si="76"/>
        <v>0</v>
      </c>
      <c r="AZ86" s="54">
        <f t="shared" si="76"/>
        <v>0</v>
      </c>
      <c r="BA86" s="24">
        <f t="shared" si="76"/>
        <v>0</v>
      </c>
      <c r="BB86" s="54">
        <f t="shared" si="93"/>
        <v>2400000</v>
      </c>
      <c r="BC86" s="54">
        <f t="shared" si="93"/>
        <v>0</v>
      </c>
      <c r="BD86" s="24">
        <f t="shared" si="93"/>
        <v>0</v>
      </c>
      <c r="BE86" s="54">
        <f t="shared" si="93"/>
        <v>0</v>
      </c>
      <c r="BF86" s="54">
        <f t="shared" si="93"/>
        <v>0</v>
      </c>
      <c r="BG86" s="24">
        <f t="shared" si="93"/>
        <v>0</v>
      </c>
      <c r="BH86" s="54">
        <f t="shared" si="93"/>
        <v>0</v>
      </c>
      <c r="BI86" s="54">
        <f t="shared" si="93"/>
        <v>0</v>
      </c>
      <c r="BJ86" s="54">
        <f t="shared" si="93"/>
        <v>0</v>
      </c>
      <c r="BK86" s="54">
        <f t="shared" si="93"/>
        <v>0</v>
      </c>
      <c r="BL86" s="54">
        <f t="shared" si="93"/>
        <v>0</v>
      </c>
      <c r="BM86" s="54">
        <f t="shared" si="93"/>
        <v>0</v>
      </c>
      <c r="BN86" s="54"/>
      <c r="BO86" s="54"/>
      <c r="BP86" s="24">
        <f t="shared" si="78"/>
        <v>0</v>
      </c>
      <c r="BQ86" s="54">
        <f t="shared" si="94"/>
        <v>0</v>
      </c>
      <c r="BR86" s="57">
        <f t="shared" si="90"/>
        <v>0.6</v>
      </c>
      <c r="BS86" s="24">
        <f t="shared" si="80"/>
        <v>3600000</v>
      </c>
      <c r="BT86" s="54"/>
      <c r="BU86" s="54"/>
      <c r="BV86" s="54"/>
      <c r="BW86" s="54"/>
      <c r="BX86" s="54">
        <f>+'[1]SEPTIEMBRE 2016'!$H$3527</f>
        <v>3600000</v>
      </c>
      <c r="BY86" s="54"/>
      <c r="BZ86" s="54"/>
      <c r="CA86" s="54"/>
      <c r="CB86" s="54"/>
      <c r="CC86" s="54"/>
      <c r="CD86" s="54"/>
      <c r="CE86" s="54"/>
      <c r="CF86" s="54"/>
      <c r="CG86" s="54"/>
      <c r="CH86" s="54"/>
      <c r="CI86" s="54"/>
      <c r="CJ86" s="54"/>
      <c r="CK86" s="54"/>
      <c r="CL86" s="54"/>
      <c r="CM86" s="54"/>
      <c r="CN86" s="57">
        <f t="shared" si="81"/>
        <v>0.4</v>
      </c>
      <c r="CO86" s="24">
        <f t="shared" si="82"/>
        <v>2400000</v>
      </c>
      <c r="CP86" s="24">
        <f t="shared" si="98"/>
        <v>0</v>
      </c>
      <c r="CQ86" s="54">
        <f t="shared" si="98"/>
        <v>0</v>
      </c>
      <c r="CR86" s="24">
        <f t="shared" si="98"/>
        <v>0</v>
      </c>
      <c r="CS86" s="54">
        <f t="shared" si="98"/>
        <v>2400000</v>
      </c>
      <c r="CT86" s="54">
        <f t="shared" si="98"/>
        <v>0</v>
      </c>
      <c r="CU86" s="24">
        <f t="shared" si="98"/>
        <v>0</v>
      </c>
      <c r="CV86" s="54">
        <f t="shared" ref="CV86:DD92" si="101">+N86-CA86</f>
        <v>0</v>
      </c>
      <c r="CW86" s="54">
        <f t="shared" si="101"/>
        <v>0</v>
      </c>
      <c r="CX86" s="24">
        <f t="shared" si="101"/>
        <v>0</v>
      </c>
      <c r="CY86" s="54">
        <f t="shared" si="85"/>
        <v>0</v>
      </c>
      <c r="CZ86" s="54">
        <f t="shared" si="85"/>
        <v>0</v>
      </c>
      <c r="DA86" s="54">
        <f t="shared" si="85"/>
        <v>0</v>
      </c>
      <c r="DB86" s="54">
        <f>+T86-CG86</f>
        <v>0</v>
      </c>
      <c r="DC86" s="54">
        <f>+U86-CH86</f>
        <v>0</v>
      </c>
      <c r="DD86" s="54">
        <f>+V86-CI86</f>
        <v>0</v>
      </c>
      <c r="DE86" s="54"/>
      <c r="DF86" s="54">
        <f>+X86-CK86</f>
        <v>0</v>
      </c>
      <c r="DG86" s="54">
        <f>+Y86-CL86</f>
        <v>0</v>
      </c>
      <c r="DH86" s="54">
        <f>+Z86-CM86</f>
        <v>0</v>
      </c>
    </row>
    <row r="87" spans="1:114" s="58" customFormat="1" ht="49.5" customHeight="1" x14ac:dyDescent="0.25">
      <c r="A87" s="229"/>
      <c r="B87" s="233"/>
      <c r="C87" s="68" t="s">
        <v>248</v>
      </c>
      <c r="D87" s="21" t="s">
        <v>249</v>
      </c>
      <c r="E87" s="64">
        <v>520</v>
      </c>
      <c r="F87" s="67" t="s">
        <v>91</v>
      </c>
      <c r="G87" s="24">
        <f t="shared" si="74"/>
        <v>6000000</v>
      </c>
      <c r="H87" s="28"/>
      <c r="I87" s="28"/>
      <c r="J87" s="28"/>
      <c r="K87" s="56">
        <v>6000000</v>
      </c>
      <c r="L87" s="28"/>
      <c r="M87" s="28"/>
      <c r="N87" s="28"/>
      <c r="O87" s="28"/>
      <c r="P87" s="28"/>
      <c r="Q87" s="28"/>
      <c r="R87" s="28"/>
      <c r="S87" s="45"/>
      <c r="T87" s="54"/>
      <c r="U87" s="54"/>
      <c r="V87" s="54"/>
      <c r="W87" s="54"/>
      <c r="X87" s="54"/>
      <c r="Y87" s="54"/>
      <c r="Z87" s="54"/>
      <c r="AA87" s="57">
        <f t="shared" si="89"/>
        <v>0</v>
      </c>
      <c r="AB87" s="24">
        <f t="shared" si="88"/>
        <v>0</v>
      </c>
      <c r="AC87" s="54"/>
      <c r="AD87" s="54"/>
      <c r="AE87" s="54"/>
      <c r="AF87" s="54"/>
      <c r="AG87" s="54"/>
      <c r="AH87" s="54"/>
      <c r="AI87" s="54"/>
      <c r="AJ87" s="54"/>
      <c r="AK87" s="54"/>
      <c r="AL87" s="54"/>
      <c r="AM87" s="54"/>
      <c r="AN87" s="54"/>
      <c r="AO87" s="54"/>
      <c r="AP87" s="54"/>
      <c r="AQ87" s="54"/>
      <c r="AR87" s="54"/>
      <c r="AS87" s="54"/>
      <c r="AT87" s="54"/>
      <c r="AU87" s="54"/>
      <c r="AV87" s="54"/>
      <c r="AW87" s="57">
        <f t="shared" si="91"/>
        <v>1</v>
      </c>
      <c r="AX87" s="24">
        <f t="shared" si="75"/>
        <v>6000000</v>
      </c>
      <c r="AY87" s="54">
        <f t="shared" si="76"/>
        <v>0</v>
      </c>
      <c r="AZ87" s="54">
        <f t="shared" si="76"/>
        <v>0</v>
      </c>
      <c r="BA87" s="24">
        <f t="shared" si="76"/>
        <v>0</v>
      </c>
      <c r="BB87" s="54">
        <f t="shared" si="93"/>
        <v>6000000</v>
      </c>
      <c r="BC87" s="54">
        <f t="shared" si="93"/>
        <v>0</v>
      </c>
      <c r="BD87" s="24">
        <f t="shared" si="93"/>
        <v>0</v>
      </c>
      <c r="BE87" s="54">
        <f t="shared" si="93"/>
        <v>0</v>
      </c>
      <c r="BF87" s="54">
        <f t="shared" si="93"/>
        <v>0</v>
      </c>
      <c r="BG87" s="24">
        <f t="shared" si="93"/>
        <v>0</v>
      </c>
      <c r="BH87" s="54">
        <f t="shared" si="93"/>
        <v>0</v>
      </c>
      <c r="BI87" s="54">
        <f t="shared" si="93"/>
        <v>0</v>
      </c>
      <c r="BJ87" s="54">
        <f t="shared" si="93"/>
        <v>0</v>
      </c>
      <c r="BK87" s="54">
        <f t="shared" si="93"/>
        <v>0</v>
      </c>
      <c r="BL87" s="54">
        <f t="shared" si="93"/>
        <v>0</v>
      </c>
      <c r="BM87" s="54">
        <f t="shared" si="93"/>
        <v>0</v>
      </c>
      <c r="BN87" s="54"/>
      <c r="BO87" s="54">
        <f>+X87-AT87</f>
        <v>0</v>
      </c>
      <c r="BP87" s="24">
        <f t="shared" si="78"/>
        <v>0</v>
      </c>
      <c r="BQ87" s="54">
        <f t="shared" si="94"/>
        <v>0</v>
      </c>
      <c r="BR87" s="57">
        <f t="shared" si="90"/>
        <v>0</v>
      </c>
      <c r="BS87" s="24">
        <f t="shared" si="80"/>
        <v>0</v>
      </c>
      <c r="BT87" s="54"/>
      <c r="BU87" s="54"/>
      <c r="BV87" s="54"/>
      <c r="BW87" s="54"/>
      <c r="BX87" s="54"/>
      <c r="BY87" s="54"/>
      <c r="BZ87" s="54"/>
      <c r="CA87" s="54"/>
      <c r="CB87" s="54"/>
      <c r="CC87" s="54"/>
      <c r="CD87" s="54"/>
      <c r="CE87" s="54"/>
      <c r="CF87" s="54"/>
      <c r="CG87" s="54"/>
      <c r="CH87" s="54"/>
      <c r="CI87" s="54"/>
      <c r="CJ87" s="54"/>
      <c r="CK87" s="54"/>
      <c r="CL87" s="54"/>
      <c r="CM87" s="54"/>
      <c r="CN87" s="57">
        <f t="shared" si="81"/>
        <v>1</v>
      </c>
      <c r="CO87" s="24">
        <f t="shared" si="82"/>
        <v>6000000</v>
      </c>
      <c r="CP87" s="24">
        <f t="shared" si="98"/>
        <v>0</v>
      </c>
      <c r="CQ87" s="54">
        <f t="shared" si="98"/>
        <v>0</v>
      </c>
      <c r="CR87" s="24">
        <f t="shared" si="98"/>
        <v>0</v>
      </c>
      <c r="CS87" s="54">
        <f t="shared" si="98"/>
        <v>6000000</v>
      </c>
      <c r="CT87" s="54">
        <f t="shared" si="98"/>
        <v>0</v>
      </c>
      <c r="CU87" s="24">
        <f t="shared" si="98"/>
        <v>0</v>
      </c>
      <c r="CV87" s="54">
        <f t="shared" si="101"/>
        <v>0</v>
      </c>
      <c r="CW87" s="54">
        <f t="shared" si="101"/>
        <v>0</v>
      </c>
      <c r="CX87" s="24">
        <f t="shared" si="101"/>
        <v>0</v>
      </c>
      <c r="CY87" s="54">
        <f t="shared" si="85"/>
        <v>0</v>
      </c>
      <c r="CZ87" s="54">
        <f t="shared" si="85"/>
        <v>0</v>
      </c>
      <c r="DA87" s="54">
        <f t="shared" si="85"/>
        <v>0</v>
      </c>
      <c r="DB87" s="54">
        <f>T87-CG87</f>
        <v>0</v>
      </c>
      <c r="DC87" s="54">
        <f>U87-CH87</f>
        <v>0</v>
      </c>
      <c r="DD87" s="54">
        <f>V87-CI87</f>
        <v>0</v>
      </c>
      <c r="DE87" s="54"/>
      <c r="DF87" s="54">
        <f>X87-CK87</f>
        <v>0</v>
      </c>
      <c r="DG87" s="54">
        <f>Y87-CL87</f>
        <v>0</v>
      </c>
      <c r="DH87" s="54">
        <f>Z87-CM87</f>
        <v>0</v>
      </c>
    </row>
    <row r="88" spans="1:114" ht="33" customHeight="1" x14ac:dyDescent="0.25">
      <c r="A88" s="229"/>
      <c r="B88" s="231" t="s">
        <v>250</v>
      </c>
      <c r="C88" s="20" t="s">
        <v>251</v>
      </c>
      <c r="D88" s="21" t="s">
        <v>252</v>
      </c>
      <c r="E88" s="22">
        <v>520</v>
      </c>
      <c r="F88" s="67" t="s">
        <v>91</v>
      </c>
      <c r="G88" s="24">
        <f t="shared" si="74"/>
        <v>33106800</v>
      </c>
      <c r="H88" s="33"/>
      <c r="I88" s="24"/>
      <c r="J88" s="24"/>
      <c r="K88" s="56">
        <v>33106800</v>
      </c>
      <c r="L88" s="33"/>
      <c r="M88" s="33"/>
      <c r="N88" s="33"/>
      <c r="O88" s="33"/>
      <c r="P88" s="33"/>
      <c r="Q88" s="28"/>
      <c r="R88" s="33"/>
      <c r="S88" s="45"/>
      <c r="T88" s="24"/>
      <c r="U88" s="24"/>
      <c r="V88" s="24"/>
      <c r="W88" s="24"/>
      <c r="X88" s="24"/>
      <c r="Y88" s="24"/>
      <c r="Z88" s="24"/>
      <c r="AA88" s="25">
        <f t="shared" si="89"/>
        <v>1</v>
      </c>
      <c r="AB88" s="24">
        <f t="shared" si="88"/>
        <v>33106800</v>
      </c>
      <c r="AC88" s="24"/>
      <c r="AD88" s="24"/>
      <c r="AE88" s="24"/>
      <c r="AF88" s="24"/>
      <c r="AG88" s="24">
        <f>+'[2]ENERO 2016'!$O$848</f>
        <v>33106800</v>
      </c>
      <c r="AH88" s="24"/>
      <c r="AI88" s="24"/>
      <c r="AJ88" s="24"/>
      <c r="AK88" s="24"/>
      <c r="AL88" s="24"/>
      <c r="AM88" s="24"/>
      <c r="AN88" s="24"/>
      <c r="AO88" s="24"/>
      <c r="AP88" s="24"/>
      <c r="AQ88" s="24"/>
      <c r="AR88" s="24"/>
      <c r="AS88" s="24"/>
      <c r="AT88" s="24"/>
      <c r="AU88" s="24"/>
      <c r="AV88" s="24"/>
      <c r="AW88" s="25">
        <f t="shared" si="91"/>
        <v>0</v>
      </c>
      <c r="AX88" s="24">
        <f t="shared" si="75"/>
        <v>0</v>
      </c>
      <c r="AY88" s="24">
        <f t="shared" si="76"/>
        <v>0</v>
      </c>
      <c r="AZ88" s="24">
        <f t="shared" si="76"/>
        <v>0</v>
      </c>
      <c r="BA88" s="24">
        <f t="shared" si="76"/>
        <v>0</v>
      </c>
      <c r="BB88" s="24">
        <f t="shared" si="93"/>
        <v>0</v>
      </c>
      <c r="BC88" s="24">
        <f t="shared" si="93"/>
        <v>0</v>
      </c>
      <c r="BD88" s="24">
        <f t="shared" si="93"/>
        <v>0</v>
      </c>
      <c r="BE88" s="54">
        <f t="shared" si="93"/>
        <v>0</v>
      </c>
      <c r="BF88" s="24">
        <f t="shared" si="93"/>
        <v>0</v>
      </c>
      <c r="BG88" s="24">
        <f t="shared" si="93"/>
        <v>0</v>
      </c>
      <c r="BH88" s="24">
        <f t="shared" si="93"/>
        <v>0</v>
      </c>
      <c r="BI88" s="24">
        <f t="shared" si="93"/>
        <v>0</v>
      </c>
      <c r="BJ88" s="24">
        <f t="shared" si="93"/>
        <v>0</v>
      </c>
      <c r="BK88" s="24">
        <f t="shared" si="93"/>
        <v>0</v>
      </c>
      <c r="BL88" s="24">
        <f t="shared" si="93"/>
        <v>0</v>
      </c>
      <c r="BM88" s="24">
        <f t="shared" si="93"/>
        <v>0</v>
      </c>
      <c r="BN88" s="24"/>
      <c r="BO88" s="24"/>
      <c r="BP88" s="24">
        <f t="shared" si="78"/>
        <v>0</v>
      </c>
      <c r="BQ88" s="24">
        <f t="shared" si="94"/>
        <v>0</v>
      </c>
      <c r="BR88" s="25">
        <f t="shared" si="90"/>
        <v>0.98600347964768564</v>
      </c>
      <c r="BS88" s="24">
        <f t="shared" si="80"/>
        <v>32643420</v>
      </c>
      <c r="BT88" s="24"/>
      <c r="BU88" s="24"/>
      <c r="BV88" s="24"/>
      <c r="BW88" s="24"/>
      <c r="BX88" s="24">
        <f>+'[1]SEPTIEMBRE 2016'!$H$3539</f>
        <v>32643420</v>
      </c>
      <c r="BY88" s="24"/>
      <c r="BZ88" s="24"/>
      <c r="CA88" s="24"/>
      <c r="CB88" s="24"/>
      <c r="CC88" s="24"/>
      <c r="CD88" s="24"/>
      <c r="CE88" s="24"/>
      <c r="CF88" s="24"/>
      <c r="CG88" s="24"/>
      <c r="CH88" s="24"/>
      <c r="CI88" s="24"/>
      <c r="CJ88" s="24"/>
      <c r="CK88" s="24"/>
      <c r="CL88" s="24"/>
      <c r="CM88" s="24"/>
      <c r="CN88" s="57">
        <f t="shared" si="81"/>
        <v>1.3996520352314357E-2</v>
      </c>
      <c r="CO88" s="24">
        <f t="shared" si="82"/>
        <v>463380</v>
      </c>
      <c r="CP88" s="24">
        <f t="shared" si="98"/>
        <v>0</v>
      </c>
      <c r="CQ88" s="54">
        <f t="shared" si="98"/>
        <v>0</v>
      </c>
      <c r="CR88" s="24">
        <f t="shared" si="98"/>
        <v>0</v>
      </c>
      <c r="CS88" s="24">
        <f t="shared" si="98"/>
        <v>463380</v>
      </c>
      <c r="CT88" s="54">
        <f t="shared" si="98"/>
        <v>0</v>
      </c>
      <c r="CU88" s="24">
        <f t="shared" si="98"/>
        <v>0</v>
      </c>
      <c r="CV88" s="54">
        <f t="shared" si="101"/>
        <v>0</v>
      </c>
      <c r="CW88" s="54">
        <f t="shared" si="101"/>
        <v>0</v>
      </c>
      <c r="CX88" s="24">
        <f t="shared" si="101"/>
        <v>0</v>
      </c>
      <c r="CY88" s="54">
        <f t="shared" si="85"/>
        <v>0</v>
      </c>
      <c r="CZ88" s="24">
        <f t="shared" si="85"/>
        <v>0</v>
      </c>
      <c r="DA88" s="24">
        <f t="shared" si="85"/>
        <v>0</v>
      </c>
      <c r="DB88" s="24">
        <f t="shared" ref="DB88:DD90" si="102">+T88-CG88</f>
        <v>0</v>
      </c>
      <c r="DC88" s="24">
        <f t="shared" si="102"/>
        <v>0</v>
      </c>
      <c r="DD88" s="24">
        <f t="shared" si="102"/>
        <v>0</v>
      </c>
      <c r="DE88" s="24"/>
      <c r="DF88" s="24">
        <f>+X88-CK88</f>
        <v>0</v>
      </c>
      <c r="DG88" s="54">
        <f>Y88-CL88</f>
        <v>0</v>
      </c>
      <c r="DH88" s="24">
        <f>+Z88-CM88</f>
        <v>0</v>
      </c>
      <c r="DJ88" s="52" t="e">
        <f>+#REF!-#REF!</f>
        <v>#REF!</v>
      </c>
    </row>
    <row r="89" spans="1:114" ht="19.5" customHeight="1" x14ac:dyDescent="0.25">
      <c r="A89" s="229"/>
      <c r="B89" s="232"/>
      <c r="C89" s="20" t="s">
        <v>253</v>
      </c>
      <c r="D89" s="21" t="s">
        <v>254</v>
      </c>
      <c r="E89" s="22">
        <v>520</v>
      </c>
      <c r="F89" s="67" t="s">
        <v>91</v>
      </c>
      <c r="G89" s="24">
        <f t="shared" si="74"/>
        <v>15184000</v>
      </c>
      <c r="H89" s="33"/>
      <c r="I89" s="24"/>
      <c r="J89" s="24"/>
      <c r="K89" s="56">
        <v>15184000</v>
      </c>
      <c r="L89" s="33"/>
      <c r="M89" s="33"/>
      <c r="N89" s="33"/>
      <c r="O89" s="33"/>
      <c r="P89" s="33"/>
      <c r="Q89" s="28"/>
      <c r="R89" s="33"/>
      <c r="S89" s="45"/>
      <c r="T89" s="24"/>
      <c r="U89" s="24"/>
      <c r="V89" s="24"/>
      <c r="W89" s="24"/>
      <c r="X89" s="24"/>
      <c r="Y89" s="24"/>
      <c r="Z89" s="24"/>
      <c r="AA89" s="25">
        <f t="shared" si="89"/>
        <v>1</v>
      </c>
      <c r="AB89" s="24">
        <f t="shared" si="88"/>
        <v>15184000</v>
      </c>
      <c r="AC89" s="24"/>
      <c r="AD89" s="24"/>
      <c r="AE89" s="24"/>
      <c r="AF89" s="24"/>
      <c r="AG89" s="24">
        <f>+'[2]ENERO 2016'!$O$854</f>
        <v>15184000</v>
      </c>
      <c r="AH89" s="24"/>
      <c r="AI89" s="24"/>
      <c r="AJ89" s="24"/>
      <c r="AK89" s="24"/>
      <c r="AL89" s="24"/>
      <c r="AM89" s="24"/>
      <c r="AN89" s="24"/>
      <c r="AO89" s="24"/>
      <c r="AP89" s="24"/>
      <c r="AQ89" s="24"/>
      <c r="AR89" s="24"/>
      <c r="AS89" s="24"/>
      <c r="AT89" s="24"/>
      <c r="AU89" s="24"/>
      <c r="AV89" s="24"/>
      <c r="AW89" s="25">
        <f t="shared" si="91"/>
        <v>0</v>
      </c>
      <c r="AX89" s="24">
        <f t="shared" si="75"/>
        <v>0</v>
      </c>
      <c r="AY89" s="24">
        <f t="shared" si="76"/>
        <v>0</v>
      </c>
      <c r="AZ89" s="24">
        <f t="shared" si="76"/>
        <v>0</v>
      </c>
      <c r="BA89" s="24">
        <f t="shared" si="76"/>
        <v>0</v>
      </c>
      <c r="BB89" s="24">
        <f t="shared" ref="BB89:BM92" si="103">+K89-AG89</f>
        <v>0</v>
      </c>
      <c r="BC89" s="24">
        <f t="shared" si="103"/>
        <v>0</v>
      </c>
      <c r="BD89" s="24">
        <f t="shared" si="103"/>
        <v>0</v>
      </c>
      <c r="BE89" s="54">
        <f t="shared" si="103"/>
        <v>0</v>
      </c>
      <c r="BF89" s="24">
        <f t="shared" si="103"/>
        <v>0</v>
      </c>
      <c r="BG89" s="24">
        <f t="shared" si="103"/>
        <v>0</v>
      </c>
      <c r="BH89" s="24">
        <f t="shared" si="103"/>
        <v>0</v>
      </c>
      <c r="BI89" s="24">
        <f t="shared" si="103"/>
        <v>0</v>
      </c>
      <c r="BJ89" s="24">
        <f t="shared" si="103"/>
        <v>0</v>
      </c>
      <c r="BK89" s="24">
        <f t="shared" si="103"/>
        <v>0</v>
      </c>
      <c r="BL89" s="24">
        <f t="shared" si="103"/>
        <v>0</v>
      </c>
      <c r="BM89" s="24">
        <f t="shared" si="103"/>
        <v>0</v>
      </c>
      <c r="BN89" s="24"/>
      <c r="BO89" s="24"/>
      <c r="BP89" s="24">
        <f t="shared" si="78"/>
        <v>0</v>
      </c>
      <c r="BQ89" s="24">
        <f t="shared" si="94"/>
        <v>0</v>
      </c>
      <c r="BR89" s="25">
        <f t="shared" si="90"/>
        <v>0.44197892518440463</v>
      </c>
      <c r="BS89" s="24">
        <f t="shared" si="80"/>
        <v>6711008</v>
      </c>
      <c r="BT89" s="24"/>
      <c r="BU89" s="24"/>
      <c r="BV89" s="24"/>
      <c r="BW89" s="24"/>
      <c r="BX89" s="24">
        <f>+'[1]SEPTIEMBRE 2016'!$H$3548</f>
        <v>6711008</v>
      </c>
      <c r="BY89" s="24"/>
      <c r="BZ89" s="24"/>
      <c r="CA89" s="24"/>
      <c r="CB89" s="24"/>
      <c r="CC89" s="24"/>
      <c r="CD89" s="24"/>
      <c r="CE89" s="24"/>
      <c r="CF89" s="24"/>
      <c r="CG89" s="24"/>
      <c r="CH89" s="24"/>
      <c r="CI89" s="24"/>
      <c r="CJ89" s="24"/>
      <c r="CK89" s="24"/>
      <c r="CL89" s="24"/>
      <c r="CM89" s="24"/>
      <c r="CN89" s="57">
        <f t="shared" si="81"/>
        <v>0.55802107481559537</v>
      </c>
      <c r="CO89" s="24">
        <f t="shared" si="82"/>
        <v>8472992</v>
      </c>
      <c r="CP89" s="24">
        <f t="shared" si="98"/>
        <v>0</v>
      </c>
      <c r="CQ89" s="54">
        <f t="shared" si="98"/>
        <v>0</v>
      </c>
      <c r="CR89" s="24">
        <f t="shared" si="98"/>
        <v>0</v>
      </c>
      <c r="CS89" s="24">
        <f t="shared" si="98"/>
        <v>8472992</v>
      </c>
      <c r="CT89" s="54">
        <f t="shared" si="98"/>
        <v>0</v>
      </c>
      <c r="CU89" s="24">
        <f t="shared" si="98"/>
        <v>0</v>
      </c>
      <c r="CV89" s="54">
        <f t="shared" si="101"/>
        <v>0</v>
      </c>
      <c r="CW89" s="54">
        <f t="shared" si="101"/>
        <v>0</v>
      </c>
      <c r="CX89" s="24">
        <f t="shared" si="101"/>
        <v>0</v>
      </c>
      <c r="CY89" s="54">
        <f t="shared" si="85"/>
        <v>0</v>
      </c>
      <c r="CZ89" s="24">
        <f t="shared" si="85"/>
        <v>0</v>
      </c>
      <c r="DA89" s="24">
        <f t="shared" si="85"/>
        <v>0</v>
      </c>
      <c r="DB89" s="24">
        <f t="shared" si="102"/>
        <v>0</v>
      </c>
      <c r="DC89" s="24">
        <f t="shared" si="102"/>
        <v>0</v>
      </c>
      <c r="DD89" s="24">
        <f t="shared" si="102"/>
        <v>0</v>
      </c>
      <c r="DE89" s="24"/>
      <c r="DF89" s="24">
        <f>+X89-CK89</f>
        <v>0</v>
      </c>
      <c r="DG89" s="54">
        <f>Y89-CL89</f>
        <v>0</v>
      </c>
      <c r="DH89" s="24">
        <f>+Z89-CM89</f>
        <v>0</v>
      </c>
    </row>
    <row r="90" spans="1:114" ht="33.75" customHeight="1" x14ac:dyDescent="0.25">
      <c r="A90" s="229"/>
      <c r="B90" s="232"/>
      <c r="C90" s="20" t="s">
        <v>255</v>
      </c>
      <c r="D90" s="21" t="s">
        <v>256</v>
      </c>
      <c r="E90" s="22">
        <v>520</v>
      </c>
      <c r="F90" s="67" t="s">
        <v>91</v>
      </c>
      <c r="G90" s="24">
        <f t="shared" si="74"/>
        <v>17000000</v>
      </c>
      <c r="H90" s="33"/>
      <c r="I90" s="33"/>
      <c r="J90" s="33"/>
      <c r="K90" s="56">
        <v>16000000</v>
      </c>
      <c r="L90" s="33"/>
      <c r="M90" s="33"/>
      <c r="N90" s="33"/>
      <c r="O90" s="33"/>
      <c r="P90" s="33"/>
      <c r="Q90" s="28"/>
      <c r="R90" s="33"/>
      <c r="S90" s="56"/>
      <c r="T90" s="24"/>
      <c r="U90" s="24"/>
      <c r="V90" s="24"/>
      <c r="W90" s="24"/>
      <c r="X90" s="24"/>
      <c r="Y90" s="24"/>
      <c r="Z90" s="24">
        <f>1000000</f>
        <v>1000000</v>
      </c>
      <c r="AA90" s="25">
        <f t="shared" si="89"/>
        <v>0.65294117647058825</v>
      </c>
      <c r="AB90" s="24">
        <f t="shared" si="88"/>
        <v>11100000</v>
      </c>
      <c r="AC90" s="24"/>
      <c r="AD90" s="24"/>
      <c r="AE90" s="24"/>
      <c r="AF90" s="24"/>
      <c r="AG90" s="24">
        <f>+'[4]AGOSTO 2016'!$O$3040</f>
        <v>11100000</v>
      </c>
      <c r="AH90" s="24"/>
      <c r="AI90" s="24"/>
      <c r="AJ90" s="24"/>
      <c r="AK90" s="24"/>
      <c r="AL90" s="24"/>
      <c r="AM90" s="24"/>
      <c r="AN90" s="24"/>
      <c r="AO90" s="24"/>
      <c r="AP90" s="24"/>
      <c r="AQ90" s="24"/>
      <c r="AR90" s="24"/>
      <c r="AS90" s="24"/>
      <c r="AT90" s="24"/>
      <c r="AU90" s="24"/>
      <c r="AV90" s="24"/>
      <c r="AW90" s="25">
        <f t="shared" si="91"/>
        <v>0.34705882352941175</v>
      </c>
      <c r="AX90" s="24">
        <f t="shared" si="75"/>
        <v>5900000</v>
      </c>
      <c r="AY90" s="24">
        <f t="shared" si="76"/>
        <v>0</v>
      </c>
      <c r="AZ90" s="24">
        <f t="shared" si="76"/>
        <v>0</v>
      </c>
      <c r="BA90" s="24">
        <f t="shared" si="76"/>
        <v>0</v>
      </c>
      <c r="BB90" s="24">
        <f t="shared" si="103"/>
        <v>4900000</v>
      </c>
      <c r="BC90" s="24">
        <f t="shared" si="103"/>
        <v>0</v>
      </c>
      <c r="BD90" s="24">
        <f t="shared" si="103"/>
        <v>0</v>
      </c>
      <c r="BE90" s="54">
        <f t="shared" si="103"/>
        <v>0</v>
      </c>
      <c r="BF90" s="24">
        <f t="shared" si="103"/>
        <v>0</v>
      </c>
      <c r="BG90" s="24">
        <f t="shared" si="103"/>
        <v>0</v>
      </c>
      <c r="BH90" s="24">
        <f t="shared" si="103"/>
        <v>0</v>
      </c>
      <c r="BI90" s="24">
        <f t="shared" si="103"/>
        <v>0</v>
      </c>
      <c r="BJ90" s="24">
        <f t="shared" si="103"/>
        <v>0</v>
      </c>
      <c r="BK90" s="24">
        <f t="shared" si="103"/>
        <v>0</v>
      </c>
      <c r="BL90" s="24">
        <f t="shared" si="103"/>
        <v>0</v>
      </c>
      <c r="BM90" s="24">
        <f t="shared" si="103"/>
        <v>0</v>
      </c>
      <c r="BN90" s="24"/>
      <c r="BO90" s="24"/>
      <c r="BP90" s="24">
        <f t="shared" si="78"/>
        <v>0</v>
      </c>
      <c r="BQ90" s="24">
        <f t="shared" si="94"/>
        <v>1000000</v>
      </c>
      <c r="BR90" s="25">
        <f t="shared" si="90"/>
        <v>0.65294117647058825</v>
      </c>
      <c r="BS90" s="24">
        <f t="shared" si="80"/>
        <v>11100000</v>
      </c>
      <c r="BT90" s="24"/>
      <c r="BU90" s="24"/>
      <c r="BV90" s="24"/>
      <c r="BW90" s="24"/>
      <c r="BX90" s="24">
        <f>+'[1]SEPTIEMBRE 2016'!$H$3558</f>
        <v>11100000</v>
      </c>
      <c r="BY90" s="24"/>
      <c r="BZ90" s="24"/>
      <c r="CA90" s="24"/>
      <c r="CB90" s="24"/>
      <c r="CC90" s="24"/>
      <c r="CD90" s="24"/>
      <c r="CE90" s="24"/>
      <c r="CF90" s="24"/>
      <c r="CG90" s="24"/>
      <c r="CH90" s="24"/>
      <c r="CI90" s="24"/>
      <c r="CJ90" s="24"/>
      <c r="CK90" s="24"/>
      <c r="CL90" s="24"/>
      <c r="CM90" s="24"/>
      <c r="CN90" s="57">
        <f t="shared" si="81"/>
        <v>0.34705882352941175</v>
      </c>
      <c r="CO90" s="24">
        <f t="shared" si="82"/>
        <v>5900000</v>
      </c>
      <c r="CP90" s="24">
        <f t="shared" si="98"/>
        <v>0</v>
      </c>
      <c r="CQ90" s="54">
        <f t="shared" si="98"/>
        <v>0</v>
      </c>
      <c r="CR90" s="24">
        <f t="shared" si="98"/>
        <v>0</v>
      </c>
      <c r="CS90" s="24">
        <f t="shared" si="98"/>
        <v>4900000</v>
      </c>
      <c r="CT90" s="54">
        <f t="shared" si="98"/>
        <v>0</v>
      </c>
      <c r="CU90" s="24">
        <f t="shared" si="98"/>
        <v>0</v>
      </c>
      <c r="CV90" s="54">
        <f t="shared" si="101"/>
        <v>0</v>
      </c>
      <c r="CW90" s="54">
        <f t="shared" si="101"/>
        <v>0</v>
      </c>
      <c r="CX90" s="24">
        <f t="shared" si="101"/>
        <v>0</v>
      </c>
      <c r="CY90" s="54">
        <f t="shared" si="85"/>
        <v>0</v>
      </c>
      <c r="CZ90" s="24">
        <f t="shared" si="85"/>
        <v>0</v>
      </c>
      <c r="DA90" s="24">
        <f t="shared" si="85"/>
        <v>0</v>
      </c>
      <c r="DB90" s="24">
        <f t="shared" si="102"/>
        <v>0</v>
      </c>
      <c r="DC90" s="24">
        <f t="shared" si="102"/>
        <v>0</v>
      </c>
      <c r="DD90" s="24">
        <f t="shared" si="102"/>
        <v>0</v>
      </c>
      <c r="DE90" s="24"/>
      <c r="DF90" s="24">
        <f>+X90-CK90</f>
        <v>0</v>
      </c>
      <c r="DG90" s="54">
        <f>Y90-CL90</f>
        <v>0</v>
      </c>
      <c r="DH90" s="24">
        <f>+Z90-CM90</f>
        <v>1000000</v>
      </c>
    </row>
    <row r="91" spans="1:114" ht="21" customHeight="1" x14ac:dyDescent="0.25">
      <c r="A91" s="229"/>
      <c r="B91" s="232"/>
      <c r="C91" s="69" t="s">
        <v>257</v>
      </c>
      <c r="D91" s="21" t="s">
        <v>258</v>
      </c>
      <c r="E91" s="22">
        <v>520</v>
      </c>
      <c r="F91" s="67" t="s">
        <v>91</v>
      </c>
      <c r="G91" s="24">
        <f t="shared" si="74"/>
        <v>270709200</v>
      </c>
      <c r="H91" s="70"/>
      <c r="I91" s="70"/>
      <c r="J91" s="70"/>
      <c r="K91" s="56">
        <v>35709200</v>
      </c>
      <c r="L91" s="70"/>
      <c r="M91" s="70"/>
      <c r="N91" s="70"/>
      <c r="O91" s="70"/>
      <c r="P91" s="70"/>
      <c r="Q91" s="71"/>
      <c r="R91" s="70"/>
      <c r="S91" s="56">
        <f>265000000-30000000</f>
        <v>235000000</v>
      </c>
      <c r="T91" s="72"/>
      <c r="U91" s="72"/>
      <c r="V91" s="72"/>
      <c r="W91" s="72"/>
      <c r="X91" s="72"/>
      <c r="Y91" s="72"/>
      <c r="Z91" s="72"/>
      <c r="AA91" s="25">
        <f t="shared" si="89"/>
        <v>1</v>
      </c>
      <c r="AB91" s="24">
        <f t="shared" si="88"/>
        <v>270709200</v>
      </c>
      <c r="AC91" s="72"/>
      <c r="AD91" s="72"/>
      <c r="AE91" s="72"/>
      <c r="AF91" s="72"/>
      <c r="AG91" s="72">
        <f>+'[2]ENERO 2016'!$O$864</f>
        <v>35709200</v>
      </c>
      <c r="AH91" s="72"/>
      <c r="AI91" s="72"/>
      <c r="AJ91" s="72"/>
      <c r="AK91" s="72"/>
      <c r="AL91" s="72"/>
      <c r="AM91" s="72"/>
      <c r="AN91" s="72"/>
      <c r="AO91" s="72">
        <f>+'[4]AGOSTO 2016'!$W$3047</f>
        <v>235000000</v>
      </c>
      <c r="AP91" s="72"/>
      <c r="AQ91" s="72"/>
      <c r="AR91" s="72"/>
      <c r="AS91" s="72"/>
      <c r="AT91" s="72"/>
      <c r="AU91" s="72"/>
      <c r="AV91" s="72"/>
      <c r="AW91" s="25">
        <f t="shared" si="91"/>
        <v>0</v>
      </c>
      <c r="AX91" s="24">
        <f t="shared" si="75"/>
        <v>0</v>
      </c>
      <c r="AY91" s="24">
        <f t="shared" si="76"/>
        <v>0</v>
      </c>
      <c r="AZ91" s="24">
        <f t="shared" si="76"/>
        <v>0</v>
      </c>
      <c r="BA91" s="24">
        <f t="shared" si="76"/>
        <v>0</v>
      </c>
      <c r="BB91" s="24">
        <f t="shared" si="103"/>
        <v>0</v>
      </c>
      <c r="BC91" s="24">
        <f t="shared" si="103"/>
        <v>0</v>
      </c>
      <c r="BD91" s="24">
        <f t="shared" si="103"/>
        <v>0</v>
      </c>
      <c r="BE91" s="54">
        <f t="shared" si="103"/>
        <v>0</v>
      </c>
      <c r="BF91" s="24">
        <f t="shared" si="103"/>
        <v>0</v>
      </c>
      <c r="BG91" s="24">
        <f t="shared" si="103"/>
        <v>0</v>
      </c>
      <c r="BH91" s="24">
        <f t="shared" si="103"/>
        <v>0</v>
      </c>
      <c r="BI91" s="24">
        <f t="shared" si="103"/>
        <v>0</v>
      </c>
      <c r="BJ91" s="24">
        <f t="shared" si="103"/>
        <v>0</v>
      </c>
      <c r="BK91" s="24">
        <f t="shared" si="103"/>
        <v>0</v>
      </c>
      <c r="BL91" s="24">
        <f t="shared" si="103"/>
        <v>0</v>
      </c>
      <c r="BM91" s="24">
        <f t="shared" si="103"/>
        <v>0</v>
      </c>
      <c r="BN91" s="24"/>
      <c r="BO91" s="24">
        <f>+X91-AT91</f>
        <v>0</v>
      </c>
      <c r="BP91" s="24">
        <f t="shared" si="78"/>
        <v>0</v>
      </c>
      <c r="BQ91" s="24">
        <f t="shared" si="94"/>
        <v>0</v>
      </c>
      <c r="BR91" s="25">
        <f t="shared" si="90"/>
        <v>0.99241533719578057</v>
      </c>
      <c r="BS91" s="24">
        <f t="shared" si="80"/>
        <v>268655962</v>
      </c>
      <c r="BT91" s="72"/>
      <c r="BU91" s="72"/>
      <c r="BV91" s="72"/>
      <c r="BW91" s="72"/>
      <c r="BX91" s="72">
        <f>+'[1]SEPTIEMBRE 2016'!$H$3568+'[1]SEPTIEMBRE 2016'!$H$3618</f>
        <v>33656412</v>
      </c>
      <c r="BY91" s="72"/>
      <c r="BZ91" s="72"/>
      <c r="CA91" s="72"/>
      <c r="CB91" s="72"/>
      <c r="CC91" s="72"/>
      <c r="CD91" s="72"/>
      <c r="CE91" s="72"/>
      <c r="CF91" s="72">
        <f>+'[1]SEPTIEMBRE 2016'!$H$3565-BX91</f>
        <v>234999550</v>
      </c>
      <c r="CG91" s="72"/>
      <c r="CH91" s="72"/>
      <c r="CI91" s="72"/>
      <c r="CJ91" s="72"/>
      <c r="CK91" s="72"/>
      <c r="CL91" s="72"/>
      <c r="CM91" s="72"/>
      <c r="CN91" s="57">
        <f t="shared" si="81"/>
        <v>7.5846628042194331E-3</v>
      </c>
      <c r="CO91" s="24">
        <f t="shared" si="82"/>
        <v>2053238</v>
      </c>
      <c r="CP91" s="24">
        <f t="shared" si="98"/>
        <v>0</v>
      </c>
      <c r="CQ91" s="54">
        <f t="shared" si="98"/>
        <v>0</v>
      </c>
      <c r="CR91" s="24">
        <f t="shared" si="98"/>
        <v>0</v>
      </c>
      <c r="CS91" s="24">
        <f t="shared" si="98"/>
        <v>2052788</v>
      </c>
      <c r="CT91" s="54">
        <f t="shared" si="98"/>
        <v>0</v>
      </c>
      <c r="CU91" s="24">
        <f t="shared" si="98"/>
        <v>0</v>
      </c>
      <c r="CV91" s="54">
        <f t="shared" si="101"/>
        <v>0</v>
      </c>
      <c r="CW91" s="54">
        <f t="shared" si="101"/>
        <v>0</v>
      </c>
      <c r="CX91" s="24">
        <f t="shared" si="101"/>
        <v>0</v>
      </c>
      <c r="CY91" s="54">
        <f t="shared" si="85"/>
        <v>0</v>
      </c>
      <c r="CZ91" s="54">
        <f t="shared" si="85"/>
        <v>0</v>
      </c>
      <c r="DA91" s="54">
        <f t="shared" si="85"/>
        <v>450</v>
      </c>
      <c r="DB91" s="54">
        <f>T91-CG91</f>
        <v>0</v>
      </c>
      <c r="DC91" s="54">
        <f>U91-CH91</f>
        <v>0</v>
      </c>
      <c r="DD91" s="54">
        <f>V91-CI91</f>
        <v>0</v>
      </c>
      <c r="DE91" s="54"/>
      <c r="DF91" s="54">
        <f>X91-CK91</f>
        <v>0</v>
      </c>
      <c r="DG91" s="54">
        <f>Y91-CL91</f>
        <v>0</v>
      </c>
      <c r="DH91" s="54">
        <f>Z91-CM91</f>
        <v>0</v>
      </c>
    </row>
    <row r="92" spans="1:114" ht="69.75" customHeight="1" x14ac:dyDescent="0.25">
      <c r="A92" s="230"/>
      <c r="B92" s="233"/>
      <c r="C92" s="20" t="s">
        <v>259</v>
      </c>
      <c r="D92" s="21" t="s">
        <v>260</v>
      </c>
      <c r="E92" s="22">
        <v>520</v>
      </c>
      <c r="F92" s="23" t="s">
        <v>261</v>
      </c>
      <c r="G92" s="24">
        <f t="shared" si="74"/>
        <v>55451472</v>
      </c>
      <c r="H92" s="70"/>
      <c r="I92" s="70"/>
      <c r="J92" s="70"/>
      <c r="K92" s="70"/>
      <c r="L92" s="70"/>
      <c r="M92" s="70"/>
      <c r="N92" s="70"/>
      <c r="O92" s="70"/>
      <c r="P92" s="70"/>
      <c r="Q92" s="71"/>
      <c r="R92" s="70"/>
      <c r="S92" s="56"/>
      <c r="T92" s="72"/>
      <c r="U92" s="72"/>
      <c r="V92" s="72"/>
      <c r="W92" s="72"/>
      <c r="X92" s="72"/>
      <c r="Y92" s="72"/>
      <c r="Z92" s="72">
        <f>26599846+5000000+955598+1000000+3500000+3000000+10000000+5396028</f>
        <v>55451472</v>
      </c>
      <c r="AA92" s="25">
        <f t="shared" si="89"/>
        <v>0.72168206824157888</v>
      </c>
      <c r="AB92" s="24">
        <f t="shared" si="88"/>
        <v>40018333</v>
      </c>
      <c r="AC92" s="72"/>
      <c r="AD92" s="72"/>
      <c r="AE92" s="72"/>
      <c r="AF92" s="72"/>
      <c r="AG92" s="72"/>
      <c r="AH92" s="72"/>
      <c r="AI92" s="72"/>
      <c r="AJ92" s="72"/>
      <c r="AK92" s="72"/>
      <c r="AL92" s="72"/>
      <c r="AM92" s="72"/>
      <c r="AN92" s="72"/>
      <c r="AO92" s="72"/>
      <c r="AP92" s="72"/>
      <c r="AQ92" s="72"/>
      <c r="AR92" s="72"/>
      <c r="AS92" s="72"/>
      <c r="AT92" s="72"/>
      <c r="AU92" s="72"/>
      <c r="AV92" s="72">
        <f>+'[1]SEPTIEMBRE 2016'!$AG$3625</f>
        <v>40018333</v>
      </c>
      <c r="AW92" s="25">
        <f t="shared" si="91"/>
        <v>0.27831793175842112</v>
      </c>
      <c r="AX92" s="24">
        <f t="shared" si="75"/>
        <v>15433139</v>
      </c>
      <c r="AY92" s="24">
        <f t="shared" si="76"/>
        <v>0</v>
      </c>
      <c r="AZ92" s="24">
        <f t="shared" si="76"/>
        <v>0</v>
      </c>
      <c r="BA92" s="24">
        <f t="shared" si="76"/>
        <v>0</v>
      </c>
      <c r="BB92" s="24">
        <f t="shared" si="103"/>
        <v>0</v>
      </c>
      <c r="BC92" s="24">
        <f t="shared" si="103"/>
        <v>0</v>
      </c>
      <c r="BD92" s="24">
        <f t="shared" si="103"/>
        <v>0</v>
      </c>
      <c r="BE92" s="54">
        <f t="shared" si="103"/>
        <v>0</v>
      </c>
      <c r="BF92" s="24">
        <f t="shared" si="103"/>
        <v>0</v>
      </c>
      <c r="BG92" s="24">
        <f t="shared" si="103"/>
        <v>0</v>
      </c>
      <c r="BH92" s="24">
        <f t="shared" si="103"/>
        <v>0</v>
      </c>
      <c r="BI92" s="24">
        <f t="shared" si="103"/>
        <v>0</v>
      </c>
      <c r="BJ92" s="24">
        <f t="shared" si="103"/>
        <v>0</v>
      </c>
      <c r="BK92" s="24">
        <f t="shared" si="103"/>
        <v>0</v>
      </c>
      <c r="BL92" s="24">
        <f t="shared" si="103"/>
        <v>0</v>
      </c>
      <c r="BM92" s="24">
        <f t="shared" si="103"/>
        <v>0</v>
      </c>
      <c r="BN92" s="24"/>
      <c r="BO92" s="24">
        <f>+X92-AT92</f>
        <v>0</v>
      </c>
      <c r="BP92" s="24">
        <f t="shared" si="78"/>
        <v>0</v>
      </c>
      <c r="BQ92" s="24">
        <f t="shared" si="94"/>
        <v>15433139</v>
      </c>
      <c r="BR92" s="25">
        <f t="shared" si="90"/>
        <v>0.72168206824157888</v>
      </c>
      <c r="BS92" s="24">
        <f t="shared" si="80"/>
        <v>40018333</v>
      </c>
      <c r="BT92" s="72"/>
      <c r="BU92" s="72"/>
      <c r="BV92" s="72"/>
      <c r="BW92" s="72"/>
      <c r="BX92" s="72"/>
      <c r="BY92" s="72"/>
      <c r="BZ92" s="72"/>
      <c r="CA92" s="72"/>
      <c r="CB92" s="72"/>
      <c r="CC92" s="72"/>
      <c r="CD92" s="72"/>
      <c r="CE92" s="72"/>
      <c r="CF92" s="72"/>
      <c r="CG92" s="72"/>
      <c r="CH92" s="72"/>
      <c r="CI92" s="72"/>
      <c r="CJ92" s="72"/>
      <c r="CK92" s="72"/>
      <c r="CL92" s="72"/>
      <c r="CM92" s="72">
        <f>+'[1]SEPTIEMBRE 2016'!$AG$3625</f>
        <v>40018333</v>
      </c>
      <c r="CN92" s="57">
        <f t="shared" si="81"/>
        <v>0.27831793175842112</v>
      </c>
      <c r="CO92" s="24">
        <f t="shared" si="82"/>
        <v>15433139</v>
      </c>
      <c r="CP92" s="24">
        <f t="shared" si="98"/>
        <v>0</v>
      </c>
      <c r="CQ92" s="54">
        <f t="shared" si="98"/>
        <v>0</v>
      </c>
      <c r="CR92" s="24">
        <f t="shared" si="98"/>
        <v>0</v>
      </c>
      <c r="CS92" s="24">
        <f t="shared" si="98"/>
        <v>0</v>
      </c>
      <c r="CT92" s="54">
        <f t="shared" si="98"/>
        <v>0</v>
      </c>
      <c r="CU92" s="24">
        <f t="shared" si="98"/>
        <v>0</v>
      </c>
      <c r="CV92" s="54">
        <f t="shared" si="101"/>
        <v>0</v>
      </c>
      <c r="CW92" s="54">
        <f t="shared" si="101"/>
        <v>0</v>
      </c>
      <c r="CX92" s="24">
        <f t="shared" si="101"/>
        <v>0</v>
      </c>
      <c r="CY92" s="24">
        <f t="shared" si="101"/>
        <v>0</v>
      </c>
      <c r="CZ92" s="24">
        <f t="shared" si="101"/>
        <v>0</v>
      </c>
      <c r="DA92" s="24">
        <f t="shared" si="101"/>
        <v>0</v>
      </c>
      <c r="DB92" s="24">
        <f t="shared" si="101"/>
        <v>0</v>
      </c>
      <c r="DC92" s="24">
        <f t="shared" si="101"/>
        <v>0</v>
      </c>
      <c r="DD92" s="24">
        <f t="shared" si="101"/>
        <v>0</v>
      </c>
      <c r="DE92" s="24"/>
      <c r="DF92" s="24">
        <f>+X92-CK92</f>
        <v>0</v>
      </c>
      <c r="DG92" s="24">
        <f>+Y92-CL92</f>
        <v>0</v>
      </c>
      <c r="DH92" s="24">
        <f>+Z92-CM92</f>
        <v>15433139</v>
      </c>
    </row>
    <row r="93" spans="1:114" s="43" customFormat="1" ht="20.25" customHeight="1" thickBot="1" x14ac:dyDescent="0.3">
      <c r="A93" s="73"/>
      <c r="B93" s="245" t="s">
        <v>262</v>
      </c>
      <c r="C93" s="246"/>
      <c r="D93" s="246"/>
      <c r="E93" s="246"/>
      <c r="F93" s="247"/>
      <c r="G93" s="61">
        <f>SUM(G61:G92)</f>
        <v>1760134547</v>
      </c>
      <c r="H93" s="61">
        <f>SUM(H61:H92)</f>
        <v>0</v>
      </c>
      <c r="I93" s="61">
        <f>SUM(I61:I92)</f>
        <v>0</v>
      </c>
      <c r="J93" s="61">
        <f>SUM(J61:J90)</f>
        <v>0</v>
      </c>
      <c r="K93" s="61">
        <f>SUM(K61:K92)</f>
        <v>520000000</v>
      </c>
      <c r="L93" s="61">
        <f>SUM(L61:L92)</f>
        <v>50000000</v>
      </c>
      <c r="M93" s="61">
        <f t="shared" ref="M93:Z93" si="104">SUM(M61:M92)</f>
        <v>0</v>
      </c>
      <c r="N93" s="61">
        <f t="shared" si="104"/>
        <v>0</v>
      </c>
      <c r="O93" s="61">
        <f t="shared" si="104"/>
        <v>0</v>
      </c>
      <c r="P93" s="61">
        <f t="shared" si="104"/>
        <v>0</v>
      </c>
      <c r="Q93" s="61">
        <f t="shared" si="104"/>
        <v>0</v>
      </c>
      <c r="R93" s="61">
        <f t="shared" si="104"/>
        <v>244000000</v>
      </c>
      <c r="S93" s="61">
        <f t="shared" si="104"/>
        <v>333901442</v>
      </c>
      <c r="T93" s="61">
        <f t="shared" si="104"/>
        <v>0</v>
      </c>
      <c r="U93" s="61">
        <f t="shared" si="104"/>
        <v>0</v>
      </c>
      <c r="V93" s="61">
        <f t="shared" si="104"/>
        <v>0</v>
      </c>
      <c r="W93" s="61">
        <f t="shared" si="104"/>
        <v>0</v>
      </c>
      <c r="X93" s="61">
        <f t="shared" si="104"/>
        <v>0</v>
      </c>
      <c r="Y93" s="61">
        <f t="shared" si="104"/>
        <v>0</v>
      </c>
      <c r="Z93" s="61">
        <f t="shared" si="104"/>
        <v>612233105</v>
      </c>
      <c r="AA93" s="39">
        <f t="shared" si="89"/>
        <v>0.83588880890251627</v>
      </c>
      <c r="AB93" s="61">
        <f>SUM(AB61:AB92)</f>
        <v>1471276770</v>
      </c>
      <c r="AC93" s="61"/>
      <c r="AD93" s="61">
        <f t="shared" ref="AD93:AV93" si="105">SUM(AD61:AD92)</f>
        <v>0</v>
      </c>
      <c r="AE93" s="61">
        <f t="shared" si="105"/>
        <v>0</v>
      </c>
      <c r="AF93" s="61">
        <f t="shared" si="105"/>
        <v>0</v>
      </c>
      <c r="AG93" s="61">
        <f t="shared" si="105"/>
        <v>396302174</v>
      </c>
      <c r="AH93" s="61">
        <f t="shared" si="105"/>
        <v>49797725</v>
      </c>
      <c r="AI93" s="61">
        <f t="shared" si="105"/>
        <v>0</v>
      </c>
      <c r="AJ93" s="61">
        <f t="shared" si="105"/>
        <v>0</v>
      </c>
      <c r="AK93" s="61">
        <f t="shared" si="105"/>
        <v>0</v>
      </c>
      <c r="AL93" s="61">
        <f t="shared" si="105"/>
        <v>0</v>
      </c>
      <c r="AM93" s="61">
        <f t="shared" si="105"/>
        <v>0</v>
      </c>
      <c r="AN93" s="61">
        <f t="shared" si="105"/>
        <v>187101991</v>
      </c>
      <c r="AO93" s="61">
        <f t="shared" si="105"/>
        <v>292539894</v>
      </c>
      <c r="AP93" s="61">
        <f t="shared" si="105"/>
        <v>0</v>
      </c>
      <c r="AQ93" s="61">
        <f t="shared" si="105"/>
        <v>0</v>
      </c>
      <c r="AR93" s="61">
        <f t="shared" si="105"/>
        <v>0</v>
      </c>
      <c r="AS93" s="61">
        <f t="shared" si="105"/>
        <v>0</v>
      </c>
      <c r="AT93" s="61">
        <f t="shared" si="105"/>
        <v>0</v>
      </c>
      <c r="AU93" s="61">
        <f t="shared" si="105"/>
        <v>0</v>
      </c>
      <c r="AV93" s="61">
        <f t="shared" si="105"/>
        <v>545534986</v>
      </c>
      <c r="AW93" s="39">
        <f t="shared" si="91"/>
        <v>0.16411119109748373</v>
      </c>
      <c r="AX93" s="61">
        <f>SUM(AX61:AX92)</f>
        <v>288857777</v>
      </c>
      <c r="AY93" s="61">
        <f t="shared" ref="AY93:BQ93" si="106">SUM(AY61:AY92)</f>
        <v>0</v>
      </c>
      <c r="AZ93" s="61">
        <f t="shared" si="106"/>
        <v>0</v>
      </c>
      <c r="BA93" s="61">
        <f t="shared" si="106"/>
        <v>0</v>
      </c>
      <c r="BB93" s="61">
        <f t="shared" si="106"/>
        <v>123697826</v>
      </c>
      <c r="BC93" s="61">
        <f t="shared" si="106"/>
        <v>202275</v>
      </c>
      <c r="BD93" s="61">
        <f t="shared" si="106"/>
        <v>0</v>
      </c>
      <c r="BE93" s="61">
        <f t="shared" si="106"/>
        <v>0</v>
      </c>
      <c r="BF93" s="61">
        <f t="shared" si="106"/>
        <v>0</v>
      </c>
      <c r="BG93" s="61">
        <f t="shared" si="106"/>
        <v>0</v>
      </c>
      <c r="BH93" s="61">
        <f t="shared" si="106"/>
        <v>0</v>
      </c>
      <c r="BI93" s="61">
        <f t="shared" si="106"/>
        <v>56898009</v>
      </c>
      <c r="BJ93" s="61">
        <f t="shared" si="106"/>
        <v>41361548</v>
      </c>
      <c r="BK93" s="61">
        <f t="shared" si="106"/>
        <v>0</v>
      </c>
      <c r="BL93" s="61">
        <f t="shared" si="106"/>
        <v>0</v>
      </c>
      <c r="BM93" s="61">
        <f t="shared" si="106"/>
        <v>0</v>
      </c>
      <c r="BN93" s="61">
        <f t="shared" si="106"/>
        <v>0</v>
      </c>
      <c r="BO93" s="61">
        <f t="shared" si="106"/>
        <v>0</v>
      </c>
      <c r="BP93" s="61">
        <f t="shared" si="106"/>
        <v>0</v>
      </c>
      <c r="BQ93" s="61">
        <f t="shared" si="106"/>
        <v>66698119</v>
      </c>
      <c r="BR93" s="39">
        <f t="shared" si="90"/>
        <v>0.80967760358379015</v>
      </c>
      <c r="BS93" s="61">
        <f t="shared" ref="BS93:CI93" si="107">SUM(BS61:BS92)</f>
        <v>1425141522</v>
      </c>
      <c r="BT93" s="61">
        <f t="shared" si="107"/>
        <v>0</v>
      </c>
      <c r="BU93" s="61">
        <f t="shared" si="107"/>
        <v>0</v>
      </c>
      <c r="BV93" s="61">
        <f t="shared" si="107"/>
        <v>0</v>
      </c>
      <c r="BW93" s="61">
        <f t="shared" si="107"/>
        <v>0</v>
      </c>
      <c r="BX93" s="61">
        <f t="shared" si="107"/>
        <v>363309545</v>
      </c>
      <c r="BY93" s="61">
        <f t="shared" si="107"/>
        <v>49797725</v>
      </c>
      <c r="BZ93" s="61">
        <f t="shared" si="107"/>
        <v>0</v>
      </c>
      <c r="CA93" s="61">
        <f t="shared" si="107"/>
        <v>0</v>
      </c>
      <c r="CB93" s="61">
        <f t="shared" si="107"/>
        <v>0</v>
      </c>
      <c r="CC93" s="61">
        <f t="shared" si="107"/>
        <v>0</v>
      </c>
      <c r="CD93" s="61">
        <f t="shared" si="107"/>
        <v>0</v>
      </c>
      <c r="CE93" s="61">
        <f t="shared" si="107"/>
        <v>185375614</v>
      </c>
      <c r="CF93" s="61">
        <f t="shared" si="107"/>
        <v>289592456</v>
      </c>
      <c r="CG93" s="61">
        <f t="shared" si="107"/>
        <v>0</v>
      </c>
      <c r="CH93" s="61">
        <f t="shared" si="107"/>
        <v>0</v>
      </c>
      <c r="CI93" s="61">
        <f t="shared" si="107"/>
        <v>0</v>
      </c>
      <c r="CJ93" s="61"/>
      <c r="CK93" s="61">
        <f>SUM(CK61:CK92)</f>
        <v>0</v>
      </c>
      <c r="CL93" s="61">
        <f>SUM(CL61:CL92)</f>
        <v>0</v>
      </c>
      <c r="CM93" s="61">
        <f>SUM(CM61:CM92)</f>
        <v>537066182</v>
      </c>
      <c r="CN93" s="39">
        <f t="shared" si="81"/>
        <v>0.19032239641620985</v>
      </c>
      <c r="CO93" s="61">
        <f t="shared" ref="CO93:DH93" si="108">SUM(CO61:CO92)</f>
        <v>334993025</v>
      </c>
      <c r="CP93" s="61">
        <f t="shared" si="108"/>
        <v>0</v>
      </c>
      <c r="CQ93" s="61">
        <f t="shared" si="108"/>
        <v>0</v>
      </c>
      <c r="CR93" s="61">
        <f t="shared" si="108"/>
        <v>0</v>
      </c>
      <c r="CS93" s="61">
        <f t="shared" si="108"/>
        <v>156690455</v>
      </c>
      <c r="CT93" s="61">
        <f t="shared" si="108"/>
        <v>202275</v>
      </c>
      <c r="CU93" s="61">
        <f t="shared" si="108"/>
        <v>0</v>
      </c>
      <c r="CV93" s="61">
        <f t="shared" si="108"/>
        <v>0</v>
      </c>
      <c r="CW93" s="61">
        <f t="shared" si="108"/>
        <v>0</v>
      </c>
      <c r="CX93" s="61">
        <f t="shared" si="108"/>
        <v>0</v>
      </c>
      <c r="CY93" s="61">
        <f t="shared" si="108"/>
        <v>0</v>
      </c>
      <c r="CZ93" s="61">
        <f t="shared" si="108"/>
        <v>58624386</v>
      </c>
      <c r="DA93" s="61">
        <f t="shared" si="108"/>
        <v>44308986</v>
      </c>
      <c r="DB93" s="61">
        <f t="shared" si="108"/>
        <v>0</v>
      </c>
      <c r="DC93" s="61">
        <f t="shared" si="108"/>
        <v>0</v>
      </c>
      <c r="DD93" s="61">
        <f t="shared" si="108"/>
        <v>0</v>
      </c>
      <c r="DE93" s="61">
        <f t="shared" si="108"/>
        <v>0</v>
      </c>
      <c r="DF93" s="61">
        <f t="shared" si="108"/>
        <v>0</v>
      </c>
      <c r="DG93" s="61">
        <f t="shared" si="108"/>
        <v>0</v>
      </c>
      <c r="DH93" s="61">
        <f t="shared" si="108"/>
        <v>75166923</v>
      </c>
    </row>
    <row r="94" spans="1:114" ht="6" customHeight="1" thickTop="1" x14ac:dyDescent="0.25">
      <c r="B94" s="74"/>
      <c r="C94" s="75"/>
      <c r="D94" s="76"/>
      <c r="E94" s="77"/>
      <c r="F94" s="78"/>
      <c r="G94" s="79"/>
      <c r="H94" s="79"/>
      <c r="I94" s="79"/>
      <c r="J94" s="79"/>
      <c r="K94" s="80"/>
      <c r="M94" s="80"/>
      <c r="N94" s="80"/>
      <c r="O94" s="80"/>
      <c r="P94" s="80"/>
      <c r="Q94" s="80"/>
      <c r="R94" s="80"/>
      <c r="S94" s="80"/>
      <c r="T94" s="80"/>
      <c r="U94" s="80"/>
      <c r="V94" s="80"/>
      <c r="W94" s="80"/>
      <c r="X94" s="80"/>
      <c r="Y94" s="80"/>
      <c r="Z94" s="80"/>
      <c r="AA94" s="81"/>
      <c r="AB94" s="82"/>
      <c r="AC94" s="82"/>
      <c r="AD94" s="82"/>
      <c r="AE94" s="82"/>
      <c r="AF94" s="82"/>
      <c r="AG94" s="83"/>
      <c r="AH94" s="83"/>
      <c r="AI94" s="83"/>
      <c r="AJ94" s="83"/>
      <c r="AK94" s="83"/>
      <c r="AL94" s="83"/>
      <c r="AM94" s="83"/>
      <c r="AN94" s="83"/>
      <c r="AO94" s="83"/>
      <c r="AP94" s="83"/>
      <c r="AQ94" s="83"/>
      <c r="AR94" s="83"/>
      <c r="AS94" s="83"/>
      <c r="AT94" s="83"/>
      <c r="AU94" s="83"/>
      <c r="AV94" s="83"/>
      <c r="AW94" s="84"/>
      <c r="AX94" s="82"/>
      <c r="AY94" s="82"/>
      <c r="AZ94" s="82"/>
      <c r="BA94" s="82"/>
      <c r="BB94" s="85"/>
      <c r="BC94" s="85"/>
      <c r="BD94" s="85"/>
      <c r="BE94" s="85"/>
      <c r="BF94" s="85"/>
      <c r="BG94" s="85"/>
      <c r="BH94" s="85"/>
      <c r="BI94" s="85"/>
      <c r="BJ94" s="85"/>
      <c r="BK94" s="85"/>
      <c r="BL94" s="85"/>
      <c r="BM94" s="85"/>
      <c r="BN94" s="85"/>
      <c r="BO94" s="85"/>
      <c r="BP94" s="85"/>
      <c r="BQ94" s="85"/>
      <c r="BR94" s="84"/>
      <c r="BS94" s="82"/>
      <c r="BT94" s="82"/>
      <c r="BU94" s="82"/>
      <c r="BV94" s="82"/>
      <c r="BW94" s="82"/>
      <c r="BX94" s="83"/>
      <c r="BY94" s="83"/>
      <c r="BZ94" s="83"/>
      <c r="CA94" s="83"/>
      <c r="CB94" s="83"/>
      <c r="CC94" s="83"/>
      <c r="CD94" s="83"/>
      <c r="CE94" s="83"/>
      <c r="CF94" s="83"/>
      <c r="CG94" s="83"/>
      <c r="CH94" s="83"/>
      <c r="CI94" s="83"/>
      <c r="CJ94" s="83"/>
      <c r="CK94" s="83"/>
      <c r="CL94" s="83"/>
      <c r="CM94" s="83"/>
      <c r="CN94" s="84"/>
      <c r="CO94" s="82"/>
      <c r="CP94" s="82"/>
      <c r="CQ94" s="82"/>
      <c r="CR94" s="82"/>
      <c r="CS94" s="85"/>
      <c r="CT94" s="85"/>
      <c r="CU94" s="85"/>
      <c r="CV94" s="85"/>
      <c r="CW94" s="85"/>
      <c r="CX94" s="85"/>
      <c r="CY94" s="85"/>
      <c r="CZ94" s="85"/>
      <c r="DA94" s="85"/>
      <c r="DB94" s="85"/>
      <c r="DC94" s="85"/>
      <c r="DD94" s="85"/>
      <c r="DE94" s="85"/>
      <c r="DF94" s="85"/>
      <c r="DG94" s="85"/>
      <c r="DH94" s="85"/>
    </row>
    <row r="95" spans="1:114" s="43" customFormat="1" ht="27.75" customHeight="1" x14ac:dyDescent="0.25">
      <c r="A95" s="248" t="s">
        <v>263</v>
      </c>
      <c r="B95" s="231" t="s">
        <v>264</v>
      </c>
      <c r="C95" s="69" t="s">
        <v>265</v>
      </c>
      <c r="D95" s="21" t="s">
        <v>266</v>
      </c>
      <c r="E95" s="22">
        <v>301</v>
      </c>
      <c r="F95" s="23" t="s">
        <v>267</v>
      </c>
      <c r="G95" s="24">
        <f t="shared" ref="G95:G112" si="109">SUM(H95:Z95)</f>
        <v>82075557</v>
      </c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>
        <f>85000000-2924443</f>
        <v>82075557</v>
      </c>
      <c r="W95" s="24"/>
      <c r="X95" s="24"/>
      <c r="Y95" s="24"/>
      <c r="Z95" s="24"/>
      <c r="AA95" s="25">
        <f t="shared" ref="AA95:AA133" si="110">+AB95/G95</f>
        <v>0.95104883662257689</v>
      </c>
      <c r="AB95" s="24">
        <f t="shared" ref="AB95:AB112" si="111">SUM(AC95:AV95)</f>
        <v>78057863</v>
      </c>
      <c r="AC95" s="24"/>
      <c r="AD95" s="24"/>
      <c r="AE95" s="24"/>
      <c r="AF95" s="24"/>
      <c r="AG95" s="24"/>
      <c r="AH95" s="24"/>
      <c r="AI95" s="24"/>
      <c r="AJ95" s="24"/>
      <c r="AK95" s="24"/>
      <c r="AL95" s="24"/>
      <c r="AM95" s="24"/>
      <c r="AN95" s="24"/>
      <c r="AO95" s="24"/>
      <c r="AP95" s="24"/>
      <c r="AQ95" s="24"/>
      <c r="AR95" s="24">
        <f>+'[4]AGOSTO 2016'!$Z$627</f>
        <v>78057863</v>
      </c>
      <c r="AS95" s="24"/>
      <c r="AT95" s="24"/>
      <c r="AU95" s="24"/>
      <c r="AV95" s="24"/>
      <c r="AW95" s="25">
        <f t="shared" ref="AW95:AW133" si="112">1-AA95</f>
        <v>4.8951163377423113E-2</v>
      </c>
      <c r="AX95" s="24">
        <f t="shared" ref="AX95:AX112" si="113">SUM(AY95:BQ95)</f>
        <v>4017694</v>
      </c>
      <c r="AY95" s="24">
        <f t="shared" ref="AY95:BM109" si="114">H95-AD95</f>
        <v>0</v>
      </c>
      <c r="AZ95" s="24">
        <f t="shared" si="114"/>
        <v>0</v>
      </c>
      <c r="BA95" s="24">
        <f t="shared" si="114"/>
        <v>0</v>
      </c>
      <c r="BB95" s="24">
        <f t="shared" ref="BB95:BM101" si="115">+K95-AG95</f>
        <v>0</v>
      </c>
      <c r="BC95" s="24">
        <f t="shared" si="115"/>
        <v>0</v>
      </c>
      <c r="BD95" s="24">
        <f t="shared" si="115"/>
        <v>0</v>
      </c>
      <c r="BE95" s="24">
        <f t="shared" si="115"/>
        <v>0</v>
      </c>
      <c r="BF95" s="24">
        <f t="shared" si="115"/>
        <v>0</v>
      </c>
      <c r="BG95" s="24">
        <f t="shared" si="115"/>
        <v>0</v>
      </c>
      <c r="BH95" s="24">
        <f t="shared" si="115"/>
        <v>0</v>
      </c>
      <c r="BI95" s="24">
        <f t="shared" si="115"/>
        <v>0</v>
      </c>
      <c r="BJ95" s="24">
        <f t="shared" si="115"/>
        <v>0</v>
      </c>
      <c r="BK95" s="24">
        <f t="shared" si="115"/>
        <v>0</v>
      </c>
      <c r="BL95" s="24">
        <f t="shared" si="115"/>
        <v>0</v>
      </c>
      <c r="BM95" s="24">
        <f t="shared" si="115"/>
        <v>4017694</v>
      </c>
      <c r="BN95" s="24"/>
      <c r="BO95" s="24"/>
      <c r="BP95" s="24">
        <f t="shared" ref="BP95:BP109" si="116">Y95-AU95</f>
        <v>0</v>
      </c>
      <c r="BQ95" s="24">
        <f t="shared" ref="BQ95:BQ101" si="117">+Z95-AV95</f>
        <v>0</v>
      </c>
      <c r="BR95" s="25">
        <f t="shared" ref="BR95:BR133" si="118">+BS95/G95</f>
        <v>0.38412756674925763</v>
      </c>
      <c r="BS95" s="24">
        <f t="shared" ref="BS95:BS112" si="119">SUM(BT95:CM95)</f>
        <v>31527484</v>
      </c>
      <c r="BT95" s="24"/>
      <c r="BU95" s="24"/>
      <c r="BV95" s="24"/>
      <c r="BW95" s="24"/>
      <c r="BX95" s="24"/>
      <c r="BY95" s="24"/>
      <c r="BZ95" s="24"/>
      <c r="CA95" s="24"/>
      <c r="CB95" s="24"/>
      <c r="CC95" s="24"/>
      <c r="CD95" s="24"/>
      <c r="CE95" s="24"/>
      <c r="CF95" s="24"/>
      <c r="CG95" s="24"/>
      <c r="CH95" s="24"/>
      <c r="CI95" s="24">
        <f>+'[1]SEPTIEMBRE 2016'!$H$759</f>
        <v>31527484</v>
      </c>
      <c r="CJ95" s="24"/>
      <c r="CK95" s="24"/>
      <c r="CL95" s="24"/>
      <c r="CM95" s="24"/>
      <c r="CN95" s="25">
        <f t="shared" ref="CN95:CN133" si="120">1-BR95</f>
        <v>0.61587243325074237</v>
      </c>
      <c r="CO95" s="24">
        <f t="shared" ref="CO95:CO112" si="121">SUM(CP95:DH95)</f>
        <v>50548073</v>
      </c>
      <c r="CP95" s="24">
        <f t="shared" ref="CP95:CX109" si="122">H95-BU95</f>
        <v>0</v>
      </c>
      <c r="CQ95" s="24">
        <f t="shared" si="122"/>
        <v>0</v>
      </c>
      <c r="CR95" s="24">
        <f t="shared" si="122"/>
        <v>0</v>
      </c>
      <c r="CS95" s="24">
        <f t="shared" si="122"/>
        <v>0</v>
      </c>
      <c r="CT95" s="24">
        <f t="shared" si="122"/>
        <v>0</v>
      </c>
      <c r="CU95" s="24">
        <f t="shared" si="122"/>
        <v>0</v>
      </c>
      <c r="CV95" s="24">
        <f t="shared" ref="CV95:CX100" si="123">+N95-CA95</f>
        <v>0</v>
      </c>
      <c r="CW95" s="24">
        <f t="shared" si="123"/>
        <v>0</v>
      </c>
      <c r="CX95" s="24">
        <f t="shared" si="123"/>
        <v>0</v>
      </c>
      <c r="CY95" s="24">
        <f t="shared" ref="CY95:DA109" si="124">Q95-CD95</f>
        <v>0</v>
      </c>
      <c r="CZ95" s="24">
        <f t="shared" si="124"/>
        <v>0</v>
      </c>
      <c r="DA95" s="24">
        <f t="shared" si="124"/>
        <v>0</v>
      </c>
      <c r="DB95" s="24">
        <f t="shared" ref="DB95:DD101" si="125">+T95-CG95</f>
        <v>0</v>
      </c>
      <c r="DC95" s="24">
        <f t="shared" si="125"/>
        <v>0</v>
      </c>
      <c r="DD95" s="24">
        <f t="shared" si="125"/>
        <v>50548073</v>
      </c>
      <c r="DE95" s="24"/>
      <c r="DF95" s="24">
        <f t="shared" ref="DF95:DH101" si="126">+X95-CK95</f>
        <v>0</v>
      </c>
      <c r="DG95" s="24">
        <f t="shared" si="126"/>
        <v>0</v>
      </c>
      <c r="DH95" s="24">
        <f t="shared" si="126"/>
        <v>0</v>
      </c>
    </row>
    <row r="96" spans="1:114" s="43" customFormat="1" ht="27.75" customHeight="1" x14ac:dyDescent="0.25">
      <c r="A96" s="248"/>
      <c r="B96" s="232"/>
      <c r="C96" s="69" t="s">
        <v>268</v>
      </c>
      <c r="D96" s="21" t="s">
        <v>269</v>
      </c>
      <c r="E96" s="22">
        <v>301</v>
      </c>
      <c r="F96" s="23" t="s">
        <v>267</v>
      </c>
      <c r="G96" s="24">
        <f t="shared" si="109"/>
        <v>57924443</v>
      </c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>
        <f>55000000+2924443</f>
        <v>57924443</v>
      </c>
      <c r="W96" s="24"/>
      <c r="X96" s="24"/>
      <c r="Y96" s="24"/>
      <c r="Z96" s="24"/>
      <c r="AA96" s="25">
        <f t="shared" si="110"/>
        <v>0.94951279894050944</v>
      </c>
      <c r="AB96" s="24">
        <f t="shared" si="111"/>
        <v>55000000</v>
      </c>
      <c r="AC96" s="24"/>
      <c r="AD96" s="24"/>
      <c r="AE96" s="24"/>
      <c r="AF96" s="24"/>
      <c r="AG96" s="24"/>
      <c r="AH96" s="24"/>
      <c r="AI96" s="24"/>
      <c r="AJ96" s="24"/>
      <c r="AK96" s="24"/>
      <c r="AL96" s="24"/>
      <c r="AM96" s="24"/>
      <c r="AN96" s="24"/>
      <c r="AO96" s="24"/>
      <c r="AP96" s="24"/>
      <c r="AQ96" s="24"/>
      <c r="AR96" s="24">
        <f>+'[6]JUNIO 2016'!$Z$461</f>
        <v>55000000</v>
      </c>
      <c r="AS96" s="24"/>
      <c r="AT96" s="24"/>
      <c r="AU96" s="24"/>
      <c r="AV96" s="24"/>
      <c r="AW96" s="25">
        <f t="shared" si="112"/>
        <v>5.0487201059490561E-2</v>
      </c>
      <c r="AX96" s="24">
        <f t="shared" si="113"/>
        <v>2924443</v>
      </c>
      <c r="AY96" s="24">
        <f t="shared" si="114"/>
        <v>0</v>
      </c>
      <c r="AZ96" s="24">
        <f t="shared" si="114"/>
        <v>0</v>
      </c>
      <c r="BA96" s="24">
        <f t="shared" si="114"/>
        <v>0</v>
      </c>
      <c r="BB96" s="24">
        <f t="shared" si="115"/>
        <v>0</v>
      </c>
      <c r="BC96" s="24">
        <f t="shared" si="115"/>
        <v>0</v>
      </c>
      <c r="BD96" s="24">
        <f t="shared" si="115"/>
        <v>0</v>
      </c>
      <c r="BE96" s="24">
        <f t="shared" si="115"/>
        <v>0</v>
      </c>
      <c r="BF96" s="24">
        <f t="shared" si="115"/>
        <v>0</v>
      </c>
      <c r="BG96" s="24">
        <f t="shared" si="115"/>
        <v>0</v>
      </c>
      <c r="BH96" s="24">
        <f t="shared" si="115"/>
        <v>0</v>
      </c>
      <c r="BI96" s="24">
        <f t="shared" si="115"/>
        <v>0</v>
      </c>
      <c r="BJ96" s="24">
        <f t="shared" si="115"/>
        <v>0</v>
      </c>
      <c r="BK96" s="24">
        <f t="shared" si="115"/>
        <v>0</v>
      </c>
      <c r="BL96" s="24">
        <f t="shared" si="115"/>
        <v>0</v>
      </c>
      <c r="BM96" s="24">
        <f t="shared" si="115"/>
        <v>2924443</v>
      </c>
      <c r="BN96" s="24"/>
      <c r="BO96" s="24"/>
      <c r="BP96" s="24">
        <f t="shared" si="116"/>
        <v>0</v>
      </c>
      <c r="BQ96" s="24">
        <f t="shared" si="117"/>
        <v>0</v>
      </c>
      <c r="BR96" s="25">
        <f t="shared" si="118"/>
        <v>0.94334160451055182</v>
      </c>
      <c r="BS96" s="24">
        <f t="shared" si="119"/>
        <v>54642537</v>
      </c>
      <c r="BT96" s="24"/>
      <c r="BU96" s="24"/>
      <c r="BV96" s="24"/>
      <c r="BW96" s="24"/>
      <c r="BX96" s="24"/>
      <c r="BY96" s="24"/>
      <c r="BZ96" s="24"/>
      <c r="CA96" s="24"/>
      <c r="CB96" s="24"/>
      <c r="CC96" s="24"/>
      <c r="CD96" s="24"/>
      <c r="CE96" s="24"/>
      <c r="CF96" s="24"/>
      <c r="CG96" s="24"/>
      <c r="CH96" s="24"/>
      <c r="CI96" s="24">
        <f>+'[4]AGOSTO 2016'!$H$648</f>
        <v>54642537</v>
      </c>
      <c r="CJ96" s="24"/>
      <c r="CK96" s="24"/>
      <c r="CL96" s="24"/>
      <c r="CM96" s="24"/>
      <c r="CN96" s="25">
        <f t="shared" si="120"/>
        <v>5.6658395489448177E-2</v>
      </c>
      <c r="CO96" s="24">
        <f t="shared" si="121"/>
        <v>3281906</v>
      </c>
      <c r="CP96" s="24">
        <f t="shared" si="122"/>
        <v>0</v>
      </c>
      <c r="CQ96" s="24">
        <f t="shared" si="122"/>
        <v>0</v>
      </c>
      <c r="CR96" s="24">
        <f t="shared" si="122"/>
        <v>0</v>
      </c>
      <c r="CS96" s="24">
        <f t="shared" si="122"/>
        <v>0</v>
      </c>
      <c r="CT96" s="24">
        <f t="shared" si="122"/>
        <v>0</v>
      </c>
      <c r="CU96" s="24">
        <f t="shared" si="122"/>
        <v>0</v>
      </c>
      <c r="CV96" s="24">
        <f t="shared" si="123"/>
        <v>0</v>
      </c>
      <c r="CW96" s="24">
        <f t="shared" si="123"/>
        <v>0</v>
      </c>
      <c r="CX96" s="24">
        <f t="shared" si="123"/>
        <v>0</v>
      </c>
      <c r="CY96" s="24">
        <f t="shared" si="124"/>
        <v>0</v>
      </c>
      <c r="CZ96" s="24">
        <f t="shared" si="124"/>
        <v>0</v>
      </c>
      <c r="DA96" s="24">
        <f t="shared" si="124"/>
        <v>0</v>
      </c>
      <c r="DB96" s="24">
        <f t="shared" si="125"/>
        <v>0</v>
      </c>
      <c r="DC96" s="24">
        <f t="shared" si="125"/>
        <v>0</v>
      </c>
      <c r="DD96" s="24">
        <f t="shared" si="125"/>
        <v>3281906</v>
      </c>
      <c r="DE96" s="24"/>
      <c r="DF96" s="24">
        <f t="shared" si="126"/>
        <v>0</v>
      </c>
      <c r="DG96" s="24">
        <f t="shared" si="126"/>
        <v>0</v>
      </c>
      <c r="DH96" s="24">
        <f t="shared" si="126"/>
        <v>0</v>
      </c>
    </row>
    <row r="97" spans="1:112" s="43" customFormat="1" ht="21.75" customHeight="1" x14ac:dyDescent="0.25">
      <c r="A97" s="248"/>
      <c r="B97" s="232"/>
      <c r="C97" s="69" t="s">
        <v>270</v>
      </c>
      <c r="D97" s="21" t="s">
        <v>271</v>
      </c>
      <c r="E97" s="22">
        <v>301</v>
      </c>
      <c r="F97" s="23" t="s">
        <v>267</v>
      </c>
      <c r="G97" s="24">
        <f t="shared" si="109"/>
        <v>38600000</v>
      </c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>
        <f>30000000+8600000</f>
        <v>38600000</v>
      </c>
      <c r="W97" s="24"/>
      <c r="X97" s="24"/>
      <c r="Y97" s="24"/>
      <c r="Z97" s="24"/>
      <c r="AA97" s="25">
        <f t="shared" si="110"/>
        <v>0.76161233160621766</v>
      </c>
      <c r="AB97" s="24">
        <f t="shared" si="111"/>
        <v>29398236</v>
      </c>
      <c r="AC97" s="24"/>
      <c r="AD97" s="24"/>
      <c r="AE97" s="24"/>
      <c r="AF97" s="24"/>
      <c r="AG97" s="24"/>
      <c r="AH97" s="24"/>
      <c r="AI97" s="24"/>
      <c r="AJ97" s="24"/>
      <c r="AK97" s="24"/>
      <c r="AL97" s="24"/>
      <c r="AM97" s="24"/>
      <c r="AN97" s="24"/>
      <c r="AO97" s="24"/>
      <c r="AP97" s="24"/>
      <c r="AQ97" s="24"/>
      <c r="AR97" s="24">
        <f>+'[4]AGOSTO 2016'!$G$665</f>
        <v>29398236</v>
      </c>
      <c r="AS97" s="24"/>
      <c r="AT97" s="24"/>
      <c r="AU97" s="24"/>
      <c r="AV97" s="24"/>
      <c r="AW97" s="25">
        <f t="shared" si="112"/>
        <v>0.23838766839378234</v>
      </c>
      <c r="AX97" s="24">
        <f t="shared" si="113"/>
        <v>9201764</v>
      </c>
      <c r="AY97" s="24">
        <f t="shared" si="114"/>
        <v>0</v>
      </c>
      <c r="AZ97" s="24">
        <f t="shared" si="114"/>
        <v>0</v>
      </c>
      <c r="BA97" s="24">
        <f t="shared" si="114"/>
        <v>0</v>
      </c>
      <c r="BB97" s="24">
        <f t="shared" si="115"/>
        <v>0</v>
      </c>
      <c r="BC97" s="24">
        <f t="shared" si="115"/>
        <v>0</v>
      </c>
      <c r="BD97" s="24">
        <f t="shared" si="115"/>
        <v>0</v>
      </c>
      <c r="BE97" s="24">
        <f t="shared" si="115"/>
        <v>0</v>
      </c>
      <c r="BF97" s="24">
        <f t="shared" si="115"/>
        <v>0</v>
      </c>
      <c r="BG97" s="24">
        <f t="shared" si="115"/>
        <v>0</v>
      </c>
      <c r="BH97" s="24">
        <f t="shared" si="115"/>
        <v>0</v>
      </c>
      <c r="BI97" s="24">
        <f t="shared" si="115"/>
        <v>0</v>
      </c>
      <c r="BJ97" s="24">
        <f t="shared" si="115"/>
        <v>0</v>
      </c>
      <c r="BK97" s="24">
        <f t="shared" si="115"/>
        <v>0</v>
      </c>
      <c r="BL97" s="24">
        <f t="shared" si="115"/>
        <v>0</v>
      </c>
      <c r="BM97" s="24">
        <f t="shared" si="115"/>
        <v>9201764</v>
      </c>
      <c r="BN97" s="24"/>
      <c r="BO97" s="24"/>
      <c r="BP97" s="24">
        <f t="shared" si="116"/>
        <v>0</v>
      </c>
      <c r="BQ97" s="24">
        <f t="shared" si="117"/>
        <v>0</v>
      </c>
      <c r="BR97" s="25">
        <f t="shared" si="118"/>
        <v>0.75817126943005186</v>
      </c>
      <c r="BS97" s="24">
        <f t="shared" si="119"/>
        <v>29265411</v>
      </c>
      <c r="BT97" s="24"/>
      <c r="BU97" s="24"/>
      <c r="BV97" s="24"/>
      <c r="BW97" s="24"/>
      <c r="BX97" s="24"/>
      <c r="BY97" s="24"/>
      <c r="BZ97" s="24"/>
      <c r="CA97" s="24"/>
      <c r="CB97" s="24"/>
      <c r="CC97" s="24"/>
      <c r="CD97" s="24"/>
      <c r="CE97" s="24"/>
      <c r="CF97" s="24"/>
      <c r="CG97" s="24"/>
      <c r="CH97" s="24"/>
      <c r="CI97" s="24">
        <f>+'[4]AGOSTO 2016'!$H$665</f>
        <v>29265411</v>
      </c>
      <c r="CJ97" s="24"/>
      <c r="CK97" s="24"/>
      <c r="CL97" s="24"/>
      <c r="CM97" s="24"/>
      <c r="CN97" s="25">
        <f t="shared" si="120"/>
        <v>0.24182873056994814</v>
      </c>
      <c r="CO97" s="24">
        <f t="shared" si="121"/>
        <v>9334589</v>
      </c>
      <c r="CP97" s="24">
        <f t="shared" si="122"/>
        <v>0</v>
      </c>
      <c r="CQ97" s="24">
        <f t="shared" si="122"/>
        <v>0</v>
      </c>
      <c r="CR97" s="24">
        <f t="shared" si="122"/>
        <v>0</v>
      </c>
      <c r="CS97" s="24">
        <f t="shared" si="122"/>
        <v>0</v>
      </c>
      <c r="CT97" s="24">
        <f t="shared" si="122"/>
        <v>0</v>
      </c>
      <c r="CU97" s="24">
        <f t="shared" si="122"/>
        <v>0</v>
      </c>
      <c r="CV97" s="24">
        <f t="shared" si="123"/>
        <v>0</v>
      </c>
      <c r="CW97" s="24">
        <f t="shared" si="123"/>
        <v>0</v>
      </c>
      <c r="CX97" s="24">
        <f t="shared" si="123"/>
        <v>0</v>
      </c>
      <c r="CY97" s="24">
        <f t="shared" si="124"/>
        <v>0</v>
      </c>
      <c r="CZ97" s="24">
        <f t="shared" si="124"/>
        <v>0</v>
      </c>
      <c r="DA97" s="24">
        <f t="shared" si="124"/>
        <v>0</v>
      </c>
      <c r="DB97" s="24">
        <f t="shared" si="125"/>
        <v>0</v>
      </c>
      <c r="DC97" s="24">
        <f t="shared" si="125"/>
        <v>0</v>
      </c>
      <c r="DD97" s="24">
        <f t="shared" si="125"/>
        <v>9334589</v>
      </c>
      <c r="DE97" s="24"/>
      <c r="DF97" s="24">
        <f t="shared" si="126"/>
        <v>0</v>
      </c>
      <c r="DG97" s="24">
        <f t="shared" si="126"/>
        <v>0</v>
      </c>
      <c r="DH97" s="24">
        <f t="shared" si="126"/>
        <v>0</v>
      </c>
    </row>
    <row r="98" spans="1:112" ht="35.25" customHeight="1" x14ac:dyDescent="0.25">
      <c r="A98" s="248"/>
      <c r="B98" s="232"/>
      <c r="C98" s="69" t="s">
        <v>272</v>
      </c>
      <c r="D98" s="21" t="s">
        <v>273</v>
      </c>
      <c r="E98" s="22">
        <v>301</v>
      </c>
      <c r="F98" s="23" t="s">
        <v>274</v>
      </c>
      <c r="G98" s="24">
        <f t="shared" si="109"/>
        <v>53000000</v>
      </c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>
        <f>25000000-23000000</f>
        <v>2000000</v>
      </c>
      <c r="W98" s="24"/>
      <c r="X98" s="24"/>
      <c r="Y98" s="24"/>
      <c r="Z98" s="24">
        <f>25000000+1000000+5000000+20000000</f>
        <v>51000000</v>
      </c>
      <c r="AA98" s="25">
        <f t="shared" si="110"/>
        <v>0.50190237735849053</v>
      </c>
      <c r="AB98" s="24">
        <f>SUM(AC98:AV98)</f>
        <v>26600826</v>
      </c>
      <c r="AC98" s="24"/>
      <c r="AD98" s="24"/>
      <c r="AE98" s="24"/>
      <c r="AF98" s="24"/>
      <c r="AG98" s="24"/>
      <c r="AH98" s="24"/>
      <c r="AI98" s="24"/>
      <c r="AJ98" s="24"/>
      <c r="AK98" s="24"/>
      <c r="AL98" s="24"/>
      <c r="AM98" s="24"/>
      <c r="AN98" s="24"/>
      <c r="AO98" s="24"/>
      <c r="AP98" s="24"/>
      <c r="AQ98" s="24"/>
      <c r="AR98" s="24">
        <f>+'[4]AGOSTO 2016'!$Z$680</f>
        <v>2000000</v>
      </c>
      <c r="AS98" s="24"/>
      <c r="AT98" s="24"/>
      <c r="AU98" s="24"/>
      <c r="AV98" s="24">
        <f>+'[1]SEPTIEMBRE 2016'!$AG$817</f>
        <v>24600826</v>
      </c>
      <c r="AW98" s="25">
        <f t="shared" si="112"/>
        <v>0.49809762264150947</v>
      </c>
      <c r="AX98" s="24">
        <f t="shared" si="113"/>
        <v>26399174</v>
      </c>
      <c r="AY98" s="24">
        <f t="shared" si="114"/>
        <v>0</v>
      </c>
      <c r="AZ98" s="24">
        <f t="shared" si="114"/>
        <v>0</v>
      </c>
      <c r="BA98" s="24">
        <f t="shared" si="114"/>
        <v>0</v>
      </c>
      <c r="BB98" s="24">
        <f t="shared" si="115"/>
        <v>0</v>
      </c>
      <c r="BC98" s="24">
        <f t="shared" si="115"/>
        <v>0</v>
      </c>
      <c r="BD98" s="24">
        <f t="shared" si="115"/>
        <v>0</v>
      </c>
      <c r="BE98" s="24">
        <f t="shared" si="115"/>
        <v>0</v>
      </c>
      <c r="BF98" s="24">
        <f t="shared" si="115"/>
        <v>0</v>
      </c>
      <c r="BG98" s="24">
        <f t="shared" si="115"/>
        <v>0</v>
      </c>
      <c r="BH98" s="24">
        <f t="shared" si="115"/>
        <v>0</v>
      </c>
      <c r="BI98" s="24">
        <f t="shared" si="115"/>
        <v>0</v>
      </c>
      <c r="BJ98" s="24">
        <f t="shared" si="115"/>
        <v>0</v>
      </c>
      <c r="BK98" s="24">
        <f t="shared" si="115"/>
        <v>0</v>
      </c>
      <c r="BL98" s="24">
        <f t="shared" si="115"/>
        <v>0</v>
      </c>
      <c r="BM98" s="24">
        <f t="shared" si="115"/>
        <v>0</v>
      </c>
      <c r="BN98" s="24"/>
      <c r="BO98" s="24"/>
      <c r="BP98" s="24">
        <f t="shared" si="116"/>
        <v>0</v>
      </c>
      <c r="BQ98" s="24">
        <f t="shared" si="117"/>
        <v>26399174</v>
      </c>
      <c r="BR98" s="25">
        <f t="shared" si="118"/>
        <v>0.48301558490566038</v>
      </c>
      <c r="BS98" s="24">
        <f t="shared" si="119"/>
        <v>25599826</v>
      </c>
      <c r="BT98" s="24"/>
      <c r="BU98" s="24"/>
      <c r="BV98" s="24"/>
      <c r="BW98" s="24"/>
      <c r="BX98" s="24"/>
      <c r="BY98" s="24"/>
      <c r="BZ98" s="24"/>
      <c r="CA98" s="24"/>
      <c r="CB98" s="24"/>
      <c r="CC98" s="24"/>
      <c r="CD98" s="24"/>
      <c r="CE98" s="24"/>
      <c r="CF98" s="24"/>
      <c r="CG98" s="24"/>
      <c r="CH98" s="24"/>
      <c r="CI98" s="24">
        <v>2000000</v>
      </c>
      <c r="CJ98" s="24"/>
      <c r="CK98" s="24"/>
      <c r="CL98" s="24"/>
      <c r="CM98" s="24">
        <f>+'[1]SEPTIEMBRE 2016'!$H$815-CI98</f>
        <v>23599826</v>
      </c>
      <c r="CN98" s="25">
        <f t="shared" si="120"/>
        <v>0.51698441509433968</v>
      </c>
      <c r="CO98" s="24">
        <f t="shared" si="121"/>
        <v>27400174</v>
      </c>
      <c r="CP98" s="24">
        <f t="shared" si="122"/>
        <v>0</v>
      </c>
      <c r="CQ98" s="24">
        <f t="shared" si="122"/>
        <v>0</v>
      </c>
      <c r="CR98" s="24">
        <f t="shared" si="122"/>
        <v>0</v>
      </c>
      <c r="CS98" s="24">
        <f t="shared" si="122"/>
        <v>0</v>
      </c>
      <c r="CT98" s="24">
        <f t="shared" si="122"/>
        <v>0</v>
      </c>
      <c r="CU98" s="24">
        <f t="shared" si="122"/>
        <v>0</v>
      </c>
      <c r="CV98" s="24">
        <f t="shared" si="123"/>
        <v>0</v>
      </c>
      <c r="CW98" s="24">
        <f t="shared" si="123"/>
        <v>0</v>
      </c>
      <c r="CX98" s="24">
        <f t="shared" si="123"/>
        <v>0</v>
      </c>
      <c r="CY98" s="24">
        <f t="shared" si="124"/>
        <v>0</v>
      </c>
      <c r="CZ98" s="24">
        <f t="shared" si="124"/>
        <v>0</v>
      </c>
      <c r="DA98" s="24">
        <f t="shared" si="124"/>
        <v>0</v>
      </c>
      <c r="DB98" s="24">
        <f t="shared" si="125"/>
        <v>0</v>
      </c>
      <c r="DC98" s="24">
        <f t="shared" si="125"/>
        <v>0</v>
      </c>
      <c r="DD98" s="24">
        <f t="shared" si="125"/>
        <v>0</v>
      </c>
      <c r="DE98" s="24"/>
      <c r="DF98" s="24">
        <f t="shared" si="126"/>
        <v>0</v>
      </c>
      <c r="DG98" s="24">
        <f t="shared" si="126"/>
        <v>0</v>
      </c>
      <c r="DH98" s="24">
        <f t="shared" si="126"/>
        <v>27400174</v>
      </c>
    </row>
    <row r="99" spans="1:112" ht="33" customHeight="1" x14ac:dyDescent="0.25">
      <c r="A99" s="248"/>
      <c r="B99" s="232"/>
      <c r="C99" s="69" t="s">
        <v>275</v>
      </c>
      <c r="D99" s="21" t="s">
        <v>276</v>
      </c>
      <c r="E99" s="22">
        <v>301</v>
      </c>
      <c r="F99" s="23" t="s">
        <v>267</v>
      </c>
      <c r="G99" s="24">
        <f t="shared" si="109"/>
        <v>34000000</v>
      </c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>
        <v>34000000</v>
      </c>
      <c r="W99" s="24"/>
      <c r="X99" s="24"/>
      <c r="Y99" s="24"/>
      <c r="Z99" s="24"/>
      <c r="AA99" s="25">
        <f t="shared" si="110"/>
        <v>0.99863861764705886</v>
      </c>
      <c r="AB99" s="24">
        <f t="shared" si="111"/>
        <v>33953713</v>
      </c>
      <c r="AC99" s="24"/>
      <c r="AD99" s="24"/>
      <c r="AE99" s="24"/>
      <c r="AF99" s="24"/>
      <c r="AG99" s="24"/>
      <c r="AH99" s="24"/>
      <c r="AI99" s="24"/>
      <c r="AJ99" s="24"/>
      <c r="AK99" s="24"/>
      <c r="AL99" s="24"/>
      <c r="AM99" s="24"/>
      <c r="AN99" s="24"/>
      <c r="AO99" s="24"/>
      <c r="AP99" s="24"/>
      <c r="AQ99" s="24"/>
      <c r="AR99" s="24">
        <f>+'[8]ABRIL 2016'!$Z$347</f>
        <v>33953713</v>
      </c>
      <c r="AS99" s="24"/>
      <c r="AT99" s="24"/>
      <c r="AU99" s="24"/>
      <c r="AV99" s="24"/>
      <c r="AW99" s="25">
        <f t="shared" si="112"/>
        <v>1.3613823529411428E-3</v>
      </c>
      <c r="AX99" s="24">
        <f t="shared" si="113"/>
        <v>46287</v>
      </c>
      <c r="AY99" s="24">
        <f t="shared" si="114"/>
        <v>0</v>
      </c>
      <c r="AZ99" s="24">
        <f t="shared" si="114"/>
        <v>0</v>
      </c>
      <c r="BA99" s="24">
        <f t="shared" si="114"/>
        <v>0</v>
      </c>
      <c r="BB99" s="24">
        <f t="shared" si="115"/>
        <v>0</v>
      </c>
      <c r="BC99" s="24">
        <f t="shared" si="115"/>
        <v>0</v>
      </c>
      <c r="BD99" s="24">
        <f t="shared" si="115"/>
        <v>0</v>
      </c>
      <c r="BE99" s="24">
        <f t="shared" si="115"/>
        <v>0</v>
      </c>
      <c r="BF99" s="24">
        <f t="shared" si="115"/>
        <v>0</v>
      </c>
      <c r="BG99" s="24">
        <f t="shared" si="115"/>
        <v>0</v>
      </c>
      <c r="BH99" s="24">
        <f t="shared" si="115"/>
        <v>0</v>
      </c>
      <c r="BI99" s="24">
        <f t="shared" si="115"/>
        <v>0</v>
      </c>
      <c r="BJ99" s="24">
        <f t="shared" si="115"/>
        <v>0</v>
      </c>
      <c r="BK99" s="24">
        <f t="shared" si="115"/>
        <v>0</v>
      </c>
      <c r="BL99" s="24">
        <f t="shared" si="115"/>
        <v>0</v>
      </c>
      <c r="BM99" s="24">
        <f t="shared" si="115"/>
        <v>46287</v>
      </c>
      <c r="BN99" s="24"/>
      <c r="BO99" s="24"/>
      <c r="BP99" s="24">
        <f t="shared" si="116"/>
        <v>0</v>
      </c>
      <c r="BQ99" s="24">
        <f t="shared" si="117"/>
        <v>0</v>
      </c>
      <c r="BR99" s="25">
        <f t="shared" si="118"/>
        <v>0.99650888235294122</v>
      </c>
      <c r="BS99" s="24">
        <f t="shared" si="119"/>
        <v>33881302</v>
      </c>
      <c r="BT99" s="24"/>
      <c r="BU99" s="24"/>
      <c r="BV99" s="24"/>
      <c r="BW99" s="24"/>
      <c r="BX99" s="24"/>
      <c r="BY99" s="24"/>
      <c r="BZ99" s="24"/>
      <c r="CA99" s="24"/>
      <c r="CB99" s="24"/>
      <c r="CC99" s="24"/>
      <c r="CD99" s="24"/>
      <c r="CE99" s="24"/>
      <c r="CF99" s="24"/>
      <c r="CG99" s="24"/>
      <c r="CH99" s="24"/>
      <c r="CI99" s="24">
        <f>+'[7]MAYO 2016'!$H$416</f>
        <v>33881302</v>
      </c>
      <c r="CJ99" s="24"/>
      <c r="CK99" s="24"/>
      <c r="CL99" s="24"/>
      <c r="CM99" s="24"/>
      <c r="CN99" s="25">
        <f t="shared" si="120"/>
        <v>3.4911176470587835E-3</v>
      </c>
      <c r="CO99" s="24">
        <f t="shared" si="121"/>
        <v>118698</v>
      </c>
      <c r="CP99" s="24">
        <f t="shared" si="122"/>
        <v>0</v>
      </c>
      <c r="CQ99" s="24">
        <f t="shared" si="122"/>
        <v>0</v>
      </c>
      <c r="CR99" s="24">
        <f t="shared" si="122"/>
        <v>0</v>
      </c>
      <c r="CS99" s="24">
        <f t="shared" si="122"/>
        <v>0</v>
      </c>
      <c r="CT99" s="24">
        <f t="shared" si="122"/>
        <v>0</v>
      </c>
      <c r="CU99" s="24">
        <f t="shared" si="122"/>
        <v>0</v>
      </c>
      <c r="CV99" s="24">
        <f t="shared" si="123"/>
        <v>0</v>
      </c>
      <c r="CW99" s="24">
        <f t="shared" si="123"/>
        <v>0</v>
      </c>
      <c r="CX99" s="24">
        <f t="shared" si="123"/>
        <v>0</v>
      </c>
      <c r="CY99" s="24">
        <f t="shared" si="124"/>
        <v>0</v>
      </c>
      <c r="CZ99" s="24">
        <f t="shared" si="124"/>
        <v>0</v>
      </c>
      <c r="DA99" s="24">
        <f t="shared" si="124"/>
        <v>0</v>
      </c>
      <c r="DB99" s="24">
        <f t="shared" si="125"/>
        <v>0</v>
      </c>
      <c r="DC99" s="24">
        <f t="shared" si="125"/>
        <v>0</v>
      </c>
      <c r="DD99" s="24">
        <f t="shared" si="125"/>
        <v>118698</v>
      </c>
      <c r="DE99" s="24"/>
      <c r="DF99" s="24">
        <f t="shared" si="126"/>
        <v>0</v>
      </c>
      <c r="DG99" s="24">
        <f t="shared" si="126"/>
        <v>0</v>
      </c>
      <c r="DH99" s="24">
        <f t="shared" si="126"/>
        <v>0</v>
      </c>
    </row>
    <row r="100" spans="1:112" ht="23.25" customHeight="1" x14ac:dyDescent="0.25">
      <c r="A100" s="248"/>
      <c r="B100" s="232"/>
      <c r="C100" s="69" t="s">
        <v>277</v>
      </c>
      <c r="D100" s="21" t="s">
        <v>278</v>
      </c>
      <c r="E100" s="22">
        <v>301</v>
      </c>
      <c r="F100" s="23" t="s">
        <v>190</v>
      </c>
      <c r="G100" s="24">
        <f t="shared" si="109"/>
        <v>113185104</v>
      </c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>
        <f>53185104</f>
        <v>53185104</v>
      </c>
      <c r="V100" s="24">
        <v>60000000</v>
      </c>
      <c r="W100" s="24"/>
      <c r="X100" s="24"/>
      <c r="Y100" s="24"/>
      <c r="Z100" s="24"/>
      <c r="AA100" s="25">
        <f t="shared" si="110"/>
        <v>1</v>
      </c>
      <c r="AB100" s="24">
        <f t="shared" si="111"/>
        <v>113185104</v>
      </c>
      <c r="AC100" s="24"/>
      <c r="AD100" s="24"/>
      <c r="AE100" s="24"/>
      <c r="AF100" s="24"/>
      <c r="AG100" s="24"/>
      <c r="AH100" s="24"/>
      <c r="AI100" s="24"/>
      <c r="AJ100" s="24"/>
      <c r="AK100" s="24"/>
      <c r="AL100" s="24"/>
      <c r="AM100" s="24"/>
      <c r="AN100" s="24"/>
      <c r="AO100" s="24"/>
      <c r="AP100" s="24"/>
      <c r="AQ100" s="24">
        <f>+'[1]SEPTIEMBRE 2016'!$Y$856</f>
        <v>53185104</v>
      </c>
      <c r="AR100" s="24">
        <f>+'[2]ENERO 2016'!$Z$180</f>
        <v>60000000</v>
      </c>
      <c r="AS100" s="24"/>
      <c r="AT100" s="24"/>
      <c r="AU100" s="24"/>
      <c r="AV100" s="24"/>
      <c r="AW100" s="25">
        <f t="shared" si="112"/>
        <v>0</v>
      </c>
      <c r="AX100" s="24">
        <f t="shared" si="113"/>
        <v>0</v>
      </c>
      <c r="AY100" s="24">
        <f t="shared" si="114"/>
        <v>0</v>
      </c>
      <c r="AZ100" s="24">
        <f t="shared" si="114"/>
        <v>0</v>
      </c>
      <c r="BA100" s="24">
        <f t="shared" si="114"/>
        <v>0</v>
      </c>
      <c r="BB100" s="24">
        <f t="shared" si="115"/>
        <v>0</v>
      </c>
      <c r="BC100" s="24">
        <f t="shared" si="115"/>
        <v>0</v>
      </c>
      <c r="BD100" s="24">
        <f t="shared" si="115"/>
        <v>0</v>
      </c>
      <c r="BE100" s="24">
        <f t="shared" si="115"/>
        <v>0</v>
      </c>
      <c r="BF100" s="24">
        <f t="shared" si="115"/>
        <v>0</v>
      </c>
      <c r="BG100" s="24">
        <f t="shared" si="115"/>
        <v>0</v>
      </c>
      <c r="BH100" s="24">
        <f t="shared" si="115"/>
        <v>0</v>
      </c>
      <c r="BI100" s="24">
        <f t="shared" si="115"/>
        <v>0</v>
      </c>
      <c r="BJ100" s="24">
        <f t="shared" si="115"/>
        <v>0</v>
      </c>
      <c r="BK100" s="24">
        <f t="shared" si="115"/>
        <v>0</v>
      </c>
      <c r="BL100" s="24">
        <f t="shared" si="115"/>
        <v>0</v>
      </c>
      <c r="BM100" s="24">
        <f t="shared" si="115"/>
        <v>0</v>
      </c>
      <c r="BN100" s="24"/>
      <c r="BO100" s="24"/>
      <c r="BP100" s="24">
        <f t="shared" si="116"/>
        <v>0</v>
      </c>
      <c r="BQ100" s="24">
        <f t="shared" si="117"/>
        <v>0</v>
      </c>
      <c r="BR100" s="25">
        <f t="shared" si="118"/>
        <v>0.78100794959732511</v>
      </c>
      <c r="BS100" s="24">
        <f t="shared" si="119"/>
        <v>88398466</v>
      </c>
      <c r="BT100" s="24"/>
      <c r="BU100" s="24"/>
      <c r="BV100" s="24"/>
      <c r="BW100" s="24"/>
      <c r="BX100" s="24"/>
      <c r="BY100" s="24"/>
      <c r="BZ100" s="24"/>
      <c r="CA100" s="24"/>
      <c r="CB100" s="24"/>
      <c r="CC100" s="24"/>
      <c r="CD100" s="24"/>
      <c r="CE100" s="24"/>
      <c r="CF100" s="24"/>
      <c r="CG100" s="24"/>
      <c r="CH100" s="24">
        <f>+'[1]SEPTIEMBRE 2016'!$H$879</f>
        <v>30040000</v>
      </c>
      <c r="CI100" s="24">
        <f>+'[1]SEPTIEMBRE 2016'!$H$857</f>
        <v>58358466</v>
      </c>
      <c r="CJ100" s="24"/>
      <c r="CK100" s="24"/>
      <c r="CL100" s="24"/>
      <c r="CM100" s="24"/>
      <c r="CN100" s="25">
        <f t="shared" si="120"/>
        <v>0.21899205040267489</v>
      </c>
      <c r="CO100" s="24">
        <f t="shared" si="121"/>
        <v>24786638</v>
      </c>
      <c r="CP100" s="24">
        <f t="shared" si="122"/>
        <v>0</v>
      </c>
      <c r="CQ100" s="24">
        <f t="shared" si="122"/>
        <v>0</v>
      </c>
      <c r="CR100" s="24">
        <f t="shared" si="122"/>
        <v>0</v>
      </c>
      <c r="CS100" s="24">
        <f t="shared" si="122"/>
        <v>0</v>
      </c>
      <c r="CT100" s="24">
        <f t="shared" si="122"/>
        <v>0</v>
      </c>
      <c r="CU100" s="24">
        <f t="shared" si="122"/>
        <v>0</v>
      </c>
      <c r="CV100" s="24">
        <f t="shared" si="123"/>
        <v>0</v>
      </c>
      <c r="CW100" s="24">
        <f t="shared" si="123"/>
        <v>0</v>
      </c>
      <c r="CX100" s="24">
        <f t="shared" si="123"/>
        <v>0</v>
      </c>
      <c r="CY100" s="24">
        <f t="shared" si="124"/>
        <v>0</v>
      </c>
      <c r="CZ100" s="24">
        <f t="shared" si="124"/>
        <v>0</v>
      </c>
      <c r="DA100" s="24">
        <f t="shared" si="124"/>
        <v>0</v>
      </c>
      <c r="DB100" s="24">
        <f t="shared" si="125"/>
        <v>0</v>
      </c>
      <c r="DC100" s="24">
        <f t="shared" si="125"/>
        <v>23145104</v>
      </c>
      <c r="DD100" s="24">
        <f t="shared" si="125"/>
        <v>1641534</v>
      </c>
      <c r="DE100" s="24"/>
      <c r="DF100" s="24">
        <f t="shared" si="126"/>
        <v>0</v>
      </c>
      <c r="DG100" s="24">
        <f t="shared" si="126"/>
        <v>0</v>
      </c>
      <c r="DH100" s="24">
        <f t="shared" si="126"/>
        <v>0</v>
      </c>
    </row>
    <row r="101" spans="1:112" ht="21" customHeight="1" x14ac:dyDescent="0.25">
      <c r="A101" s="248"/>
      <c r="B101" s="232"/>
      <c r="C101" s="69" t="s">
        <v>279</v>
      </c>
      <c r="D101" s="21" t="s">
        <v>280</v>
      </c>
      <c r="E101" s="22">
        <v>301</v>
      </c>
      <c r="F101" s="23" t="s">
        <v>281</v>
      </c>
      <c r="G101" s="24">
        <f t="shared" si="109"/>
        <v>0</v>
      </c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>
        <f>20000000-20000000</f>
        <v>0</v>
      </c>
      <c r="W101" s="24"/>
      <c r="X101" s="24"/>
      <c r="Y101" s="24"/>
      <c r="Z101" s="24"/>
      <c r="AA101" s="25" t="e">
        <f t="shared" si="110"/>
        <v>#DIV/0!</v>
      </c>
      <c r="AB101" s="24">
        <f t="shared" si="111"/>
        <v>0</v>
      </c>
      <c r="AC101" s="24"/>
      <c r="AD101" s="24"/>
      <c r="AE101" s="24"/>
      <c r="AF101" s="24"/>
      <c r="AG101" s="24"/>
      <c r="AH101" s="24"/>
      <c r="AI101" s="24"/>
      <c r="AJ101" s="24"/>
      <c r="AK101" s="24"/>
      <c r="AL101" s="24"/>
      <c r="AM101" s="24"/>
      <c r="AN101" s="24"/>
      <c r="AO101" s="24"/>
      <c r="AP101" s="24"/>
      <c r="AQ101" s="24"/>
      <c r="AR101" s="24"/>
      <c r="AS101" s="24"/>
      <c r="AT101" s="24"/>
      <c r="AU101" s="24"/>
      <c r="AV101" s="24"/>
      <c r="AW101" s="25" t="e">
        <f t="shared" si="112"/>
        <v>#DIV/0!</v>
      </c>
      <c r="AX101" s="24">
        <f t="shared" si="113"/>
        <v>0</v>
      </c>
      <c r="AY101" s="24">
        <f t="shared" si="114"/>
        <v>0</v>
      </c>
      <c r="AZ101" s="24">
        <f t="shared" si="114"/>
        <v>0</v>
      </c>
      <c r="BA101" s="24">
        <f t="shared" si="114"/>
        <v>0</v>
      </c>
      <c r="BB101" s="24">
        <f t="shared" si="115"/>
        <v>0</v>
      </c>
      <c r="BC101" s="24">
        <f t="shared" si="115"/>
        <v>0</v>
      </c>
      <c r="BD101" s="24">
        <f t="shared" si="115"/>
        <v>0</v>
      </c>
      <c r="BE101" s="24">
        <f t="shared" si="115"/>
        <v>0</v>
      </c>
      <c r="BF101" s="24">
        <f t="shared" si="115"/>
        <v>0</v>
      </c>
      <c r="BG101" s="24">
        <f t="shared" si="115"/>
        <v>0</v>
      </c>
      <c r="BH101" s="24">
        <f t="shared" si="115"/>
        <v>0</v>
      </c>
      <c r="BI101" s="24">
        <f t="shared" si="115"/>
        <v>0</v>
      </c>
      <c r="BJ101" s="24">
        <f t="shared" si="115"/>
        <v>0</v>
      </c>
      <c r="BK101" s="24">
        <f t="shared" si="115"/>
        <v>0</v>
      </c>
      <c r="BL101" s="24">
        <f t="shared" si="115"/>
        <v>0</v>
      </c>
      <c r="BM101" s="24">
        <f t="shared" si="115"/>
        <v>0</v>
      </c>
      <c r="BN101" s="24"/>
      <c r="BO101" s="24"/>
      <c r="BP101" s="24">
        <f t="shared" si="116"/>
        <v>0</v>
      </c>
      <c r="BQ101" s="24">
        <f t="shared" si="117"/>
        <v>0</v>
      </c>
      <c r="BR101" s="25" t="e">
        <f t="shared" si="118"/>
        <v>#DIV/0!</v>
      </c>
      <c r="BS101" s="24">
        <f t="shared" si="119"/>
        <v>0</v>
      </c>
      <c r="BT101" s="24"/>
      <c r="BU101" s="24"/>
      <c r="BV101" s="24"/>
      <c r="BW101" s="24"/>
      <c r="BX101" s="24"/>
      <c r="BY101" s="24"/>
      <c r="BZ101" s="24"/>
      <c r="CA101" s="24"/>
      <c r="CB101" s="24"/>
      <c r="CC101" s="24"/>
      <c r="CD101" s="24"/>
      <c r="CE101" s="24"/>
      <c r="CF101" s="24"/>
      <c r="CG101" s="24"/>
      <c r="CH101" s="24"/>
      <c r="CI101" s="24"/>
      <c r="CJ101" s="24"/>
      <c r="CK101" s="24"/>
      <c r="CL101" s="24"/>
      <c r="CM101" s="24"/>
      <c r="CN101" s="25" t="e">
        <f t="shared" si="120"/>
        <v>#DIV/0!</v>
      </c>
      <c r="CO101" s="24">
        <f t="shared" si="121"/>
        <v>0</v>
      </c>
      <c r="CP101" s="24">
        <f t="shared" si="122"/>
        <v>0</v>
      </c>
      <c r="CQ101" s="24">
        <f t="shared" si="122"/>
        <v>0</v>
      </c>
      <c r="CR101" s="24">
        <f t="shared" si="122"/>
        <v>0</v>
      </c>
      <c r="CS101" s="24">
        <f t="shared" si="122"/>
        <v>0</v>
      </c>
      <c r="CT101" s="24">
        <f t="shared" si="122"/>
        <v>0</v>
      </c>
      <c r="CU101" s="24">
        <f t="shared" si="122"/>
        <v>0</v>
      </c>
      <c r="CV101" s="24">
        <f t="shared" si="122"/>
        <v>0</v>
      </c>
      <c r="CW101" s="24">
        <f t="shared" si="122"/>
        <v>0</v>
      </c>
      <c r="CX101" s="24">
        <f t="shared" si="122"/>
        <v>0</v>
      </c>
      <c r="CY101" s="24">
        <f t="shared" si="124"/>
        <v>0</v>
      </c>
      <c r="CZ101" s="24">
        <f t="shared" si="124"/>
        <v>0</v>
      </c>
      <c r="DA101" s="24">
        <f t="shared" si="124"/>
        <v>0</v>
      </c>
      <c r="DB101" s="24">
        <f t="shared" si="125"/>
        <v>0</v>
      </c>
      <c r="DC101" s="24">
        <f t="shared" si="125"/>
        <v>0</v>
      </c>
      <c r="DD101" s="24">
        <f t="shared" si="125"/>
        <v>0</v>
      </c>
      <c r="DE101" s="24"/>
      <c r="DF101" s="24">
        <f t="shared" si="126"/>
        <v>0</v>
      </c>
      <c r="DG101" s="24">
        <f t="shared" si="126"/>
        <v>0</v>
      </c>
      <c r="DH101" s="24">
        <f t="shared" si="126"/>
        <v>0</v>
      </c>
    </row>
    <row r="102" spans="1:112" ht="32.25" customHeight="1" x14ac:dyDescent="0.25">
      <c r="A102" s="248"/>
      <c r="B102" s="233"/>
      <c r="C102" s="69" t="s">
        <v>282</v>
      </c>
      <c r="D102" s="21" t="s">
        <v>283</v>
      </c>
      <c r="E102" s="22">
        <v>301</v>
      </c>
      <c r="F102" s="23" t="s">
        <v>267</v>
      </c>
      <c r="G102" s="24">
        <f t="shared" si="109"/>
        <v>26000000</v>
      </c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>
        <v>26000000</v>
      </c>
      <c r="W102" s="24"/>
      <c r="X102" s="24"/>
      <c r="Y102" s="24"/>
      <c r="Z102" s="24"/>
      <c r="AA102" s="25">
        <f t="shared" si="110"/>
        <v>1</v>
      </c>
      <c r="AB102" s="24">
        <f t="shared" si="111"/>
        <v>26000000</v>
      </c>
      <c r="AC102" s="24"/>
      <c r="AD102" s="24"/>
      <c r="AE102" s="24"/>
      <c r="AF102" s="24"/>
      <c r="AG102" s="24"/>
      <c r="AH102" s="24"/>
      <c r="AI102" s="24"/>
      <c r="AJ102" s="24"/>
      <c r="AK102" s="24"/>
      <c r="AL102" s="24"/>
      <c r="AM102" s="24"/>
      <c r="AN102" s="24"/>
      <c r="AO102" s="24"/>
      <c r="AP102" s="24"/>
      <c r="AQ102" s="24"/>
      <c r="AR102" s="24">
        <f>+'[2]ENERO 2016'!$Z$190</f>
        <v>26000000</v>
      </c>
      <c r="AS102" s="24"/>
      <c r="AT102" s="24"/>
      <c r="AU102" s="24"/>
      <c r="AV102" s="24"/>
      <c r="AW102" s="25">
        <f t="shared" si="112"/>
        <v>0</v>
      </c>
      <c r="AX102" s="24">
        <f t="shared" si="113"/>
        <v>0</v>
      </c>
      <c r="AY102" s="24">
        <f t="shared" si="114"/>
        <v>0</v>
      </c>
      <c r="AZ102" s="24">
        <f t="shared" si="114"/>
        <v>0</v>
      </c>
      <c r="BA102" s="24">
        <f t="shared" si="114"/>
        <v>0</v>
      </c>
      <c r="BB102" s="24">
        <f t="shared" si="114"/>
        <v>0</v>
      </c>
      <c r="BC102" s="24">
        <f t="shared" si="114"/>
        <v>0</v>
      </c>
      <c r="BD102" s="24">
        <f t="shared" si="114"/>
        <v>0</v>
      </c>
      <c r="BE102" s="24">
        <f t="shared" si="114"/>
        <v>0</v>
      </c>
      <c r="BF102" s="24">
        <f t="shared" si="114"/>
        <v>0</v>
      </c>
      <c r="BG102" s="24">
        <f t="shared" si="114"/>
        <v>0</v>
      </c>
      <c r="BH102" s="24">
        <f t="shared" si="114"/>
        <v>0</v>
      </c>
      <c r="BI102" s="24">
        <f t="shared" si="114"/>
        <v>0</v>
      </c>
      <c r="BJ102" s="24">
        <f t="shared" si="114"/>
        <v>0</v>
      </c>
      <c r="BK102" s="24">
        <f t="shared" si="114"/>
        <v>0</v>
      </c>
      <c r="BL102" s="24">
        <f t="shared" si="114"/>
        <v>0</v>
      </c>
      <c r="BM102" s="24">
        <f t="shared" si="114"/>
        <v>0</v>
      </c>
      <c r="BN102" s="24"/>
      <c r="BO102" s="24">
        <f>X102-AT102</f>
        <v>0</v>
      </c>
      <c r="BP102" s="24">
        <f t="shared" si="116"/>
        <v>0</v>
      </c>
      <c r="BQ102" s="24">
        <f>Z102-AV102</f>
        <v>0</v>
      </c>
      <c r="BR102" s="25">
        <f t="shared" si="118"/>
        <v>0.79216442307692303</v>
      </c>
      <c r="BS102" s="24">
        <f t="shared" si="119"/>
        <v>20596275</v>
      </c>
      <c r="BT102" s="24"/>
      <c r="BU102" s="24"/>
      <c r="BV102" s="24"/>
      <c r="BW102" s="24"/>
      <c r="BX102" s="24"/>
      <c r="BY102" s="24"/>
      <c r="BZ102" s="24"/>
      <c r="CA102" s="24"/>
      <c r="CB102" s="24"/>
      <c r="CC102" s="24"/>
      <c r="CD102" s="24"/>
      <c r="CE102" s="24"/>
      <c r="CF102" s="24"/>
      <c r="CG102" s="24"/>
      <c r="CH102" s="24"/>
      <c r="CI102" s="24">
        <f>+'[1]SEPTIEMBRE 2016'!$H$890</f>
        <v>20596275</v>
      </c>
      <c r="CJ102" s="24"/>
      <c r="CK102" s="24"/>
      <c r="CL102" s="24"/>
      <c r="CM102" s="24"/>
      <c r="CN102" s="25">
        <f t="shared" si="120"/>
        <v>0.20783557692307697</v>
      </c>
      <c r="CO102" s="24">
        <f t="shared" si="121"/>
        <v>5403725</v>
      </c>
      <c r="CP102" s="24">
        <f t="shared" si="122"/>
        <v>0</v>
      </c>
      <c r="CQ102" s="24">
        <f t="shared" si="122"/>
        <v>0</v>
      </c>
      <c r="CR102" s="24">
        <f t="shared" si="122"/>
        <v>0</v>
      </c>
      <c r="CS102" s="24">
        <f t="shared" si="122"/>
        <v>0</v>
      </c>
      <c r="CT102" s="24">
        <f t="shared" si="122"/>
        <v>0</v>
      </c>
      <c r="CU102" s="24">
        <f t="shared" si="122"/>
        <v>0</v>
      </c>
      <c r="CV102" s="24">
        <f t="shared" si="122"/>
        <v>0</v>
      </c>
      <c r="CW102" s="24">
        <f t="shared" si="122"/>
        <v>0</v>
      </c>
      <c r="CX102" s="24">
        <f t="shared" si="122"/>
        <v>0</v>
      </c>
      <c r="CY102" s="24">
        <f t="shared" si="124"/>
        <v>0</v>
      </c>
      <c r="CZ102" s="24">
        <f t="shared" si="124"/>
        <v>0</v>
      </c>
      <c r="DA102" s="24">
        <f t="shared" si="124"/>
        <v>0</v>
      </c>
      <c r="DB102" s="24">
        <f>T102-CG102</f>
        <v>0</v>
      </c>
      <c r="DC102" s="24">
        <f>U102-CH102</f>
        <v>0</v>
      </c>
      <c r="DD102" s="24">
        <f>V102-CI102</f>
        <v>5403725</v>
      </c>
      <c r="DE102" s="24"/>
      <c r="DF102" s="24">
        <f>X102-CK102</f>
        <v>0</v>
      </c>
      <c r="DG102" s="24">
        <f>Y102-CL102</f>
        <v>0</v>
      </c>
      <c r="DH102" s="24">
        <f>Z102-CM102</f>
        <v>0</v>
      </c>
    </row>
    <row r="103" spans="1:112" ht="33" customHeight="1" x14ac:dyDescent="0.25">
      <c r="A103" s="248"/>
      <c r="B103" s="86" t="s">
        <v>284</v>
      </c>
      <c r="C103" s="87" t="s">
        <v>285</v>
      </c>
      <c r="D103" s="21" t="s">
        <v>286</v>
      </c>
      <c r="E103" s="64">
        <v>301</v>
      </c>
      <c r="F103" s="23" t="s">
        <v>287</v>
      </c>
      <c r="G103" s="24">
        <f t="shared" si="109"/>
        <v>491057893</v>
      </c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>
        <v>142057893</v>
      </c>
      <c r="V103" s="24">
        <f>322000000+20000000</f>
        <v>342000000</v>
      </c>
      <c r="W103" s="24"/>
      <c r="X103" s="24"/>
      <c r="Y103" s="24"/>
      <c r="Z103" s="24">
        <f>1000000+6000000</f>
        <v>7000000</v>
      </c>
      <c r="AA103" s="25">
        <f t="shared" si="110"/>
        <v>0.79488837378284438</v>
      </c>
      <c r="AB103" s="24">
        <f t="shared" si="111"/>
        <v>390336210</v>
      </c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>
        <f>+'[1]SEPTIEMBRE 2016'!$Y$902</f>
        <v>49883210</v>
      </c>
      <c r="AR103" s="24">
        <f>+'[1]SEPTIEMBRE 2016'!$Z$902</f>
        <v>340453000</v>
      </c>
      <c r="AS103" s="24"/>
      <c r="AT103" s="24"/>
      <c r="AU103" s="24"/>
      <c r="AV103" s="24"/>
      <c r="AW103" s="25">
        <f t="shared" si="112"/>
        <v>0.20511162621715562</v>
      </c>
      <c r="AX103" s="24">
        <f t="shared" si="113"/>
        <v>100721683</v>
      </c>
      <c r="AY103" s="24">
        <f t="shared" si="114"/>
        <v>0</v>
      </c>
      <c r="AZ103" s="24">
        <f t="shared" si="114"/>
        <v>0</v>
      </c>
      <c r="BA103" s="24">
        <f t="shared" si="114"/>
        <v>0</v>
      </c>
      <c r="BB103" s="24">
        <f t="shared" ref="BB103:BM109" si="127">+K103-AG103</f>
        <v>0</v>
      </c>
      <c r="BC103" s="24">
        <f t="shared" si="127"/>
        <v>0</v>
      </c>
      <c r="BD103" s="24">
        <f t="shared" si="127"/>
        <v>0</v>
      </c>
      <c r="BE103" s="24">
        <f t="shared" si="127"/>
        <v>0</v>
      </c>
      <c r="BF103" s="24">
        <f t="shared" si="127"/>
        <v>0</v>
      </c>
      <c r="BG103" s="24">
        <f t="shared" si="127"/>
        <v>0</v>
      </c>
      <c r="BH103" s="24">
        <f t="shared" si="127"/>
        <v>0</v>
      </c>
      <c r="BI103" s="24">
        <f t="shared" si="127"/>
        <v>0</v>
      </c>
      <c r="BJ103" s="24">
        <f t="shared" si="127"/>
        <v>0</v>
      </c>
      <c r="BK103" s="24">
        <f t="shared" si="127"/>
        <v>0</v>
      </c>
      <c r="BL103" s="24">
        <f t="shared" si="127"/>
        <v>92174683</v>
      </c>
      <c r="BM103" s="24">
        <f t="shared" si="127"/>
        <v>1547000</v>
      </c>
      <c r="BN103" s="24"/>
      <c r="BO103" s="24"/>
      <c r="BP103" s="24">
        <f t="shared" si="116"/>
        <v>0</v>
      </c>
      <c r="BQ103" s="24">
        <f t="shared" ref="BQ103:BQ109" si="128">+Z103-AV103</f>
        <v>7000000</v>
      </c>
      <c r="BR103" s="25">
        <f t="shared" si="118"/>
        <v>0.69829692972677659</v>
      </c>
      <c r="BS103" s="24">
        <f t="shared" si="119"/>
        <v>342904219</v>
      </c>
      <c r="BT103" s="24"/>
      <c r="BU103" s="24"/>
      <c r="BV103" s="24"/>
      <c r="BW103" s="24"/>
      <c r="BX103" s="24"/>
      <c r="BY103" s="24"/>
      <c r="BZ103" s="24"/>
      <c r="CA103" s="24"/>
      <c r="CB103" s="24"/>
      <c r="CC103" s="24"/>
      <c r="CD103" s="24"/>
      <c r="CE103" s="24"/>
      <c r="CF103" s="24"/>
      <c r="CG103" s="24"/>
      <c r="CH103" s="24">
        <f>+'[1]SEPTIEMBRE 2016'!$Y$958+'[1]SEPTIEMBRE 2016'!$H$961+'[1]SEPTIEMBRE 2016'!$H$962</f>
        <v>11701994</v>
      </c>
      <c r="CI103" s="24">
        <f>+'[1]SEPTIEMBRE 2016'!$H$900-CH103</f>
        <v>331202225</v>
      </c>
      <c r="CJ103" s="24"/>
      <c r="CK103" s="24"/>
      <c r="CL103" s="24"/>
      <c r="CM103" s="24"/>
      <c r="CN103" s="25">
        <f t="shared" si="120"/>
        <v>0.30170307027322341</v>
      </c>
      <c r="CO103" s="24">
        <f t="shared" si="121"/>
        <v>148153674</v>
      </c>
      <c r="CP103" s="24">
        <f t="shared" si="122"/>
        <v>0</v>
      </c>
      <c r="CQ103" s="24">
        <f t="shared" si="122"/>
        <v>0</v>
      </c>
      <c r="CR103" s="24">
        <f t="shared" si="122"/>
        <v>0</v>
      </c>
      <c r="CS103" s="24">
        <f t="shared" si="122"/>
        <v>0</v>
      </c>
      <c r="CT103" s="24">
        <f t="shared" si="122"/>
        <v>0</v>
      </c>
      <c r="CU103" s="24">
        <f t="shared" si="122"/>
        <v>0</v>
      </c>
      <c r="CV103" s="24">
        <f t="shared" ref="CV103:CW109" si="129">+N103-CA103</f>
        <v>0</v>
      </c>
      <c r="CW103" s="24">
        <f t="shared" si="129"/>
        <v>0</v>
      </c>
      <c r="CX103" s="24">
        <f t="shared" si="122"/>
        <v>0</v>
      </c>
      <c r="CY103" s="24">
        <f t="shared" si="124"/>
        <v>0</v>
      </c>
      <c r="CZ103" s="24">
        <f t="shared" si="124"/>
        <v>0</v>
      </c>
      <c r="DA103" s="24">
        <f t="shared" si="124"/>
        <v>0</v>
      </c>
      <c r="DB103" s="24">
        <f t="shared" ref="DB103:DD109" si="130">+T103-CG103</f>
        <v>0</v>
      </c>
      <c r="DC103" s="24">
        <f t="shared" si="130"/>
        <v>130355899</v>
      </c>
      <c r="DD103" s="24">
        <f t="shared" si="130"/>
        <v>10797775</v>
      </c>
      <c r="DE103" s="24"/>
      <c r="DF103" s="24">
        <f t="shared" ref="DF103:DH109" si="131">+X103-CK103</f>
        <v>0</v>
      </c>
      <c r="DG103" s="24">
        <f t="shared" si="131"/>
        <v>0</v>
      </c>
      <c r="DH103" s="24">
        <f t="shared" si="131"/>
        <v>7000000</v>
      </c>
    </row>
    <row r="104" spans="1:112" ht="54.75" customHeight="1" x14ac:dyDescent="0.25">
      <c r="A104" s="248"/>
      <c r="B104" s="88" t="s">
        <v>288</v>
      </c>
      <c r="C104" s="69" t="s">
        <v>289</v>
      </c>
      <c r="D104" s="21" t="s">
        <v>290</v>
      </c>
      <c r="E104" s="22">
        <v>301</v>
      </c>
      <c r="F104" s="23" t="s">
        <v>291</v>
      </c>
      <c r="G104" s="24">
        <f t="shared" si="109"/>
        <v>329125485</v>
      </c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>
        <v>316000000</v>
      </c>
      <c r="W104" s="24"/>
      <c r="X104" s="24"/>
      <c r="Y104" s="24"/>
      <c r="Z104" s="24">
        <f>6000000+1000000+2425485+1700000+2000000</f>
        <v>13125485</v>
      </c>
      <c r="AA104" s="25">
        <f t="shared" si="110"/>
        <v>0.77968701512129945</v>
      </c>
      <c r="AB104" s="24">
        <f t="shared" si="111"/>
        <v>256614867</v>
      </c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>
        <f>+'[1]SEPTIEMBRE 2016'!$Z$973</f>
        <v>250489382</v>
      </c>
      <c r="AS104" s="24"/>
      <c r="AT104" s="24"/>
      <c r="AU104" s="24"/>
      <c r="AV104" s="24">
        <f>+'[4]AGOSTO 2016'!$AG$812</f>
        <v>6125485</v>
      </c>
      <c r="AW104" s="25">
        <f t="shared" si="112"/>
        <v>0.22031298487870055</v>
      </c>
      <c r="AX104" s="24">
        <f t="shared" si="113"/>
        <v>72510618</v>
      </c>
      <c r="AY104" s="24">
        <f t="shared" si="114"/>
        <v>0</v>
      </c>
      <c r="AZ104" s="24">
        <f t="shared" si="114"/>
        <v>0</v>
      </c>
      <c r="BA104" s="24">
        <f t="shared" si="114"/>
        <v>0</v>
      </c>
      <c r="BB104" s="24">
        <f t="shared" si="127"/>
        <v>0</v>
      </c>
      <c r="BC104" s="24">
        <f t="shared" si="127"/>
        <v>0</v>
      </c>
      <c r="BD104" s="24">
        <f t="shared" si="127"/>
        <v>0</v>
      </c>
      <c r="BE104" s="24">
        <f t="shared" si="127"/>
        <v>0</v>
      </c>
      <c r="BF104" s="24">
        <f t="shared" si="127"/>
        <v>0</v>
      </c>
      <c r="BG104" s="24">
        <f t="shared" si="127"/>
        <v>0</v>
      </c>
      <c r="BH104" s="24">
        <f t="shared" si="127"/>
        <v>0</v>
      </c>
      <c r="BI104" s="24">
        <f t="shared" si="127"/>
        <v>0</v>
      </c>
      <c r="BJ104" s="24">
        <f t="shared" si="127"/>
        <v>0</v>
      </c>
      <c r="BK104" s="24">
        <f t="shared" si="127"/>
        <v>0</v>
      </c>
      <c r="BL104" s="24">
        <f t="shared" si="127"/>
        <v>0</v>
      </c>
      <c r="BM104" s="24">
        <f t="shared" si="127"/>
        <v>65510618</v>
      </c>
      <c r="BN104" s="24"/>
      <c r="BO104" s="24"/>
      <c r="BP104" s="24">
        <f t="shared" si="116"/>
        <v>0</v>
      </c>
      <c r="BQ104" s="24">
        <f t="shared" si="128"/>
        <v>7000000</v>
      </c>
      <c r="BR104" s="25">
        <f t="shared" si="118"/>
        <v>0.63399480292448329</v>
      </c>
      <c r="BS104" s="24">
        <f t="shared" si="119"/>
        <v>208663847</v>
      </c>
      <c r="BT104" s="24"/>
      <c r="BU104" s="24"/>
      <c r="BV104" s="24"/>
      <c r="BW104" s="24"/>
      <c r="BX104" s="24"/>
      <c r="BY104" s="24"/>
      <c r="BZ104" s="24"/>
      <c r="CA104" s="24"/>
      <c r="CB104" s="24"/>
      <c r="CC104" s="24"/>
      <c r="CD104" s="24"/>
      <c r="CE104" s="24"/>
      <c r="CF104" s="24"/>
      <c r="CG104" s="24"/>
      <c r="CH104" s="24"/>
      <c r="CI104" s="24">
        <f>'[1]SEPTIEMBRE 2016'!$H$971-CM104</f>
        <v>202631882</v>
      </c>
      <c r="CJ104" s="24"/>
      <c r="CK104" s="24"/>
      <c r="CL104" s="24"/>
      <c r="CM104" s="24">
        <f>+'[1]SEPTIEMBRE 2016'!$H$1025+'[1]SEPTIEMBRE 2016'!$H$1011+'[1]SEPTIEMBRE 2016'!$H$1001+'[1]SEPTIEMBRE 2016'!$H$992+'[1]SEPTIEMBRE 2016'!$H$991</f>
        <v>6031965</v>
      </c>
      <c r="CN104" s="25">
        <f t="shared" si="120"/>
        <v>0.36600519707551671</v>
      </c>
      <c r="CO104" s="24">
        <f t="shared" si="121"/>
        <v>120461638</v>
      </c>
      <c r="CP104" s="24">
        <f t="shared" si="122"/>
        <v>0</v>
      </c>
      <c r="CQ104" s="24">
        <f t="shared" si="122"/>
        <v>0</v>
      </c>
      <c r="CR104" s="24">
        <f t="shared" si="122"/>
        <v>0</v>
      </c>
      <c r="CS104" s="24">
        <f t="shared" si="122"/>
        <v>0</v>
      </c>
      <c r="CT104" s="24">
        <f t="shared" si="122"/>
        <v>0</v>
      </c>
      <c r="CU104" s="24">
        <f t="shared" si="122"/>
        <v>0</v>
      </c>
      <c r="CV104" s="24">
        <f t="shared" si="129"/>
        <v>0</v>
      </c>
      <c r="CW104" s="24">
        <f t="shared" si="129"/>
        <v>0</v>
      </c>
      <c r="CX104" s="24">
        <f t="shared" si="122"/>
        <v>0</v>
      </c>
      <c r="CY104" s="24">
        <f t="shared" si="124"/>
        <v>0</v>
      </c>
      <c r="CZ104" s="24">
        <f t="shared" si="124"/>
        <v>0</v>
      </c>
      <c r="DA104" s="24">
        <f t="shared" si="124"/>
        <v>0</v>
      </c>
      <c r="DB104" s="24">
        <f t="shared" si="130"/>
        <v>0</v>
      </c>
      <c r="DC104" s="24">
        <f t="shared" si="130"/>
        <v>0</v>
      </c>
      <c r="DD104" s="24">
        <f t="shared" si="130"/>
        <v>113368118</v>
      </c>
      <c r="DE104" s="24"/>
      <c r="DF104" s="24">
        <f t="shared" si="131"/>
        <v>0</v>
      </c>
      <c r="DG104" s="24">
        <f t="shared" si="131"/>
        <v>0</v>
      </c>
      <c r="DH104" s="24">
        <f t="shared" si="131"/>
        <v>7093520</v>
      </c>
    </row>
    <row r="105" spans="1:112" ht="42" customHeight="1" x14ac:dyDescent="0.25">
      <c r="A105" s="248"/>
      <c r="B105" s="88" t="s">
        <v>292</v>
      </c>
      <c r="C105" s="69" t="s">
        <v>293</v>
      </c>
      <c r="D105" s="21" t="s">
        <v>294</v>
      </c>
      <c r="E105" s="22">
        <v>301</v>
      </c>
      <c r="F105" s="23" t="s">
        <v>295</v>
      </c>
      <c r="G105" s="24">
        <f t="shared" si="109"/>
        <v>52155066</v>
      </c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>
        <f>67000000-30600000</f>
        <v>36400000</v>
      </c>
      <c r="W105" s="24"/>
      <c r="X105" s="24"/>
      <c r="Y105" s="24"/>
      <c r="Z105" s="24">
        <f>2000000+2682410+1000000+257590+3915066+900000+5000000</f>
        <v>15755066</v>
      </c>
      <c r="AA105" s="25">
        <f t="shared" si="110"/>
        <v>0.3723511729426246</v>
      </c>
      <c r="AB105" s="24">
        <f t="shared" si="111"/>
        <v>19420000</v>
      </c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>
        <f>+'[6]JUNIO 2016'!$Z$626</f>
        <v>17580000</v>
      </c>
      <c r="AS105" s="24"/>
      <c r="AT105" s="24"/>
      <c r="AU105" s="24"/>
      <c r="AV105" s="24">
        <f>+'[6]JUNIO 2016'!$AG$626</f>
        <v>1840000</v>
      </c>
      <c r="AW105" s="25">
        <f t="shared" si="112"/>
        <v>0.62764882705737546</v>
      </c>
      <c r="AX105" s="24">
        <f t="shared" si="113"/>
        <v>32735066</v>
      </c>
      <c r="AY105" s="24">
        <f t="shared" si="114"/>
        <v>0</v>
      </c>
      <c r="AZ105" s="24">
        <f t="shared" si="114"/>
        <v>0</v>
      </c>
      <c r="BA105" s="24">
        <f t="shared" si="114"/>
        <v>0</v>
      </c>
      <c r="BB105" s="24">
        <f t="shared" si="127"/>
        <v>0</v>
      </c>
      <c r="BC105" s="24">
        <f t="shared" si="127"/>
        <v>0</v>
      </c>
      <c r="BD105" s="24">
        <f t="shared" si="127"/>
        <v>0</v>
      </c>
      <c r="BE105" s="24">
        <f t="shared" si="127"/>
        <v>0</v>
      </c>
      <c r="BF105" s="24">
        <f t="shared" si="127"/>
        <v>0</v>
      </c>
      <c r="BG105" s="24">
        <f t="shared" si="127"/>
        <v>0</v>
      </c>
      <c r="BH105" s="24">
        <f t="shared" si="127"/>
        <v>0</v>
      </c>
      <c r="BI105" s="24">
        <f t="shared" si="127"/>
        <v>0</v>
      </c>
      <c r="BJ105" s="24">
        <f t="shared" si="127"/>
        <v>0</v>
      </c>
      <c r="BK105" s="24">
        <f t="shared" si="127"/>
        <v>0</v>
      </c>
      <c r="BL105" s="24">
        <f t="shared" si="127"/>
        <v>0</v>
      </c>
      <c r="BM105" s="24">
        <f t="shared" si="127"/>
        <v>18820000</v>
      </c>
      <c r="BN105" s="24"/>
      <c r="BO105" s="24"/>
      <c r="BP105" s="24">
        <f t="shared" si="116"/>
        <v>0</v>
      </c>
      <c r="BQ105" s="24">
        <f t="shared" si="128"/>
        <v>13915066</v>
      </c>
      <c r="BR105" s="25">
        <f t="shared" si="118"/>
        <v>0.3723511729426246</v>
      </c>
      <c r="BS105" s="24">
        <f t="shared" si="119"/>
        <v>19420000</v>
      </c>
      <c r="BT105" s="24"/>
      <c r="BU105" s="24"/>
      <c r="BV105" s="24"/>
      <c r="BW105" s="24"/>
      <c r="BX105" s="24"/>
      <c r="BY105" s="24"/>
      <c r="BZ105" s="24"/>
      <c r="CA105" s="24"/>
      <c r="CB105" s="24"/>
      <c r="CC105" s="24"/>
      <c r="CD105" s="24"/>
      <c r="CE105" s="24"/>
      <c r="CF105" s="24"/>
      <c r="CG105" s="24"/>
      <c r="CH105" s="24"/>
      <c r="CI105" s="24">
        <f>+'[6]JUNIO 2016'!$H$629</f>
        <v>17580000</v>
      </c>
      <c r="CJ105" s="24"/>
      <c r="CK105" s="24"/>
      <c r="CL105" s="24"/>
      <c r="CM105" s="24">
        <f>+'[6]JUNIO 2016'!$H$627+'[6]JUNIO 2016'!$H$628+'[6]JUNIO 2016'!$H$631</f>
        <v>1840000</v>
      </c>
      <c r="CN105" s="25">
        <f t="shared" si="120"/>
        <v>0.62764882705737546</v>
      </c>
      <c r="CO105" s="24">
        <f t="shared" si="121"/>
        <v>32735066</v>
      </c>
      <c r="CP105" s="24">
        <f t="shared" si="122"/>
        <v>0</v>
      </c>
      <c r="CQ105" s="24">
        <f t="shared" si="122"/>
        <v>0</v>
      </c>
      <c r="CR105" s="24">
        <f t="shared" si="122"/>
        <v>0</v>
      </c>
      <c r="CS105" s="24">
        <f t="shared" si="122"/>
        <v>0</v>
      </c>
      <c r="CT105" s="24">
        <f t="shared" si="122"/>
        <v>0</v>
      </c>
      <c r="CU105" s="24">
        <f t="shared" si="122"/>
        <v>0</v>
      </c>
      <c r="CV105" s="24">
        <f t="shared" si="129"/>
        <v>0</v>
      </c>
      <c r="CW105" s="24">
        <f t="shared" si="129"/>
        <v>0</v>
      </c>
      <c r="CX105" s="24">
        <f t="shared" si="122"/>
        <v>0</v>
      </c>
      <c r="CY105" s="24">
        <f t="shared" si="124"/>
        <v>0</v>
      </c>
      <c r="CZ105" s="24">
        <f t="shared" si="124"/>
        <v>0</v>
      </c>
      <c r="DA105" s="24">
        <f t="shared" si="124"/>
        <v>0</v>
      </c>
      <c r="DB105" s="24">
        <f t="shared" si="130"/>
        <v>0</v>
      </c>
      <c r="DC105" s="24">
        <f t="shared" si="130"/>
        <v>0</v>
      </c>
      <c r="DD105" s="24">
        <f t="shared" si="130"/>
        <v>18820000</v>
      </c>
      <c r="DE105" s="24"/>
      <c r="DF105" s="24">
        <f t="shared" si="131"/>
        <v>0</v>
      </c>
      <c r="DG105" s="24">
        <f t="shared" si="131"/>
        <v>0</v>
      </c>
      <c r="DH105" s="24">
        <f t="shared" si="131"/>
        <v>13915066</v>
      </c>
    </row>
    <row r="106" spans="1:112" ht="33" customHeight="1" x14ac:dyDescent="0.25">
      <c r="A106" s="248"/>
      <c r="B106" s="231" t="s">
        <v>296</v>
      </c>
      <c r="C106" s="69" t="s">
        <v>297</v>
      </c>
      <c r="D106" s="21" t="s">
        <v>298</v>
      </c>
      <c r="E106" s="22">
        <v>301</v>
      </c>
      <c r="F106" s="23" t="s">
        <v>267</v>
      </c>
      <c r="G106" s="24">
        <f t="shared" si="109"/>
        <v>1317000000</v>
      </c>
      <c r="H106" s="24">
        <v>200000000</v>
      </c>
      <c r="I106" s="24">
        <v>268168096</v>
      </c>
      <c r="J106" s="24"/>
      <c r="K106" s="24">
        <v>701280247</v>
      </c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>
        <f>102551657+22000000+23000000</f>
        <v>147551657</v>
      </c>
      <c r="W106" s="24"/>
      <c r="X106" s="24"/>
      <c r="Y106" s="24"/>
      <c r="Z106" s="24"/>
      <c r="AA106" s="25">
        <f t="shared" si="110"/>
        <v>0.99726176385725129</v>
      </c>
      <c r="AB106" s="24">
        <f t="shared" si="111"/>
        <v>1313393743</v>
      </c>
      <c r="AC106" s="24"/>
      <c r="AD106" s="24">
        <f>+'[1]SEPTIEMBRE 2016'!$K$1045</f>
        <v>198408143</v>
      </c>
      <c r="AE106" s="24">
        <f>+'[2]ENERO 2016'!$M$218</f>
        <v>268168096</v>
      </c>
      <c r="AF106" s="24"/>
      <c r="AG106" s="24">
        <f>+'[2]ENERO 2016'!$O$218</f>
        <v>701280247</v>
      </c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>
        <f>+'[1]SEPTIEMBRE 2016'!$Z$1045</f>
        <v>145537257</v>
      </c>
      <c r="AS106" s="24"/>
      <c r="AT106" s="24"/>
      <c r="AU106" s="24"/>
      <c r="AV106" s="24"/>
      <c r="AW106" s="25">
        <f t="shared" si="112"/>
        <v>2.7382361427487067E-3</v>
      </c>
      <c r="AX106" s="24">
        <f t="shared" si="113"/>
        <v>3606257</v>
      </c>
      <c r="AY106" s="24">
        <f t="shared" si="114"/>
        <v>1591857</v>
      </c>
      <c r="AZ106" s="24">
        <f t="shared" si="114"/>
        <v>0</v>
      </c>
      <c r="BA106" s="24">
        <f t="shared" si="114"/>
        <v>0</v>
      </c>
      <c r="BB106" s="24">
        <f t="shared" si="127"/>
        <v>0</v>
      </c>
      <c r="BC106" s="24">
        <f t="shared" si="127"/>
        <v>0</v>
      </c>
      <c r="BD106" s="24">
        <f t="shared" si="127"/>
        <v>0</v>
      </c>
      <c r="BE106" s="24">
        <f t="shared" si="127"/>
        <v>0</v>
      </c>
      <c r="BF106" s="24">
        <f t="shared" si="127"/>
        <v>0</v>
      </c>
      <c r="BG106" s="24">
        <f t="shared" si="127"/>
        <v>0</v>
      </c>
      <c r="BH106" s="24">
        <f t="shared" si="127"/>
        <v>0</v>
      </c>
      <c r="BI106" s="24">
        <f t="shared" si="127"/>
        <v>0</v>
      </c>
      <c r="BJ106" s="24">
        <f t="shared" si="127"/>
        <v>0</v>
      </c>
      <c r="BK106" s="24">
        <f t="shared" si="127"/>
        <v>0</v>
      </c>
      <c r="BL106" s="24">
        <f t="shared" si="127"/>
        <v>0</v>
      </c>
      <c r="BM106" s="24">
        <f t="shared" si="127"/>
        <v>2014400</v>
      </c>
      <c r="BN106" s="24"/>
      <c r="BO106" s="24"/>
      <c r="BP106" s="24">
        <f t="shared" si="116"/>
        <v>0</v>
      </c>
      <c r="BQ106" s="24">
        <f t="shared" si="128"/>
        <v>0</v>
      </c>
      <c r="BR106" s="25">
        <f t="shared" si="118"/>
        <v>0.99726176385725129</v>
      </c>
      <c r="BS106" s="24">
        <f t="shared" si="119"/>
        <v>1313393743</v>
      </c>
      <c r="BT106" s="24"/>
      <c r="BU106" s="24">
        <f>+'[4]AGOSTO 2016'!$H$881</f>
        <v>198408143</v>
      </c>
      <c r="BV106" s="24">
        <v>268168096</v>
      </c>
      <c r="BW106" s="24"/>
      <c r="BX106" s="24">
        <v>701280247</v>
      </c>
      <c r="BY106" s="24"/>
      <c r="BZ106" s="24"/>
      <c r="CA106" s="24"/>
      <c r="CB106" s="24"/>
      <c r="CC106" s="24"/>
      <c r="CD106" s="24"/>
      <c r="CE106" s="24"/>
      <c r="CF106" s="24"/>
      <c r="CG106" s="24"/>
      <c r="CH106" s="24"/>
      <c r="CI106" s="24">
        <f>'[1]SEPTIEMBRE 2016'!$H$1057+'[1]SEPTIEMBRE 2016'!$H$1060+'[1]SEPTIEMBRE 2016'!$H$1062</f>
        <v>145537257</v>
      </c>
      <c r="CJ106" s="24"/>
      <c r="CK106" s="24"/>
      <c r="CL106" s="24"/>
      <c r="CM106" s="24"/>
      <c r="CN106" s="25">
        <f t="shared" si="120"/>
        <v>2.7382361427487067E-3</v>
      </c>
      <c r="CO106" s="24">
        <f t="shared" si="121"/>
        <v>3606257</v>
      </c>
      <c r="CP106" s="24">
        <f t="shared" si="122"/>
        <v>1591857</v>
      </c>
      <c r="CQ106" s="24">
        <f t="shared" si="122"/>
        <v>0</v>
      </c>
      <c r="CR106" s="24">
        <f t="shared" si="122"/>
        <v>0</v>
      </c>
      <c r="CS106" s="24">
        <f t="shared" si="122"/>
        <v>0</v>
      </c>
      <c r="CT106" s="24">
        <f t="shared" si="122"/>
        <v>0</v>
      </c>
      <c r="CU106" s="24">
        <f t="shared" si="122"/>
        <v>0</v>
      </c>
      <c r="CV106" s="24">
        <f t="shared" si="129"/>
        <v>0</v>
      </c>
      <c r="CW106" s="24">
        <f t="shared" si="129"/>
        <v>0</v>
      </c>
      <c r="CX106" s="24">
        <f t="shared" si="122"/>
        <v>0</v>
      </c>
      <c r="CY106" s="24">
        <f t="shared" si="124"/>
        <v>0</v>
      </c>
      <c r="CZ106" s="24">
        <f t="shared" si="124"/>
        <v>0</v>
      </c>
      <c r="DA106" s="24">
        <f t="shared" si="124"/>
        <v>0</v>
      </c>
      <c r="DB106" s="24">
        <f t="shared" si="130"/>
        <v>0</v>
      </c>
      <c r="DC106" s="24">
        <f t="shared" si="130"/>
        <v>0</v>
      </c>
      <c r="DD106" s="24">
        <f t="shared" si="130"/>
        <v>2014400</v>
      </c>
      <c r="DE106" s="24"/>
      <c r="DF106" s="24">
        <f t="shared" si="131"/>
        <v>0</v>
      </c>
      <c r="DG106" s="24">
        <f t="shared" si="131"/>
        <v>0</v>
      </c>
      <c r="DH106" s="24">
        <f t="shared" si="131"/>
        <v>0</v>
      </c>
    </row>
    <row r="107" spans="1:112" ht="38.25" customHeight="1" x14ac:dyDescent="0.25">
      <c r="A107" s="248"/>
      <c r="B107" s="232"/>
      <c r="C107" s="69" t="s">
        <v>299</v>
      </c>
      <c r="D107" s="21" t="s">
        <v>300</v>
      </c>
      <c r="E107" s="22">
        <v>301</v>
      </c>
      <c r="F107" s="23" t="s">
        <v>267</v>
      </c>
      <c r="G107" s="24">
        <f t="shared" si="109"/>
        <v>20000000</v>
      </c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>
        <v>20000000</v>
      </c>
      <c r="W107" s="24"/>
      <c r="X107" s="24"/>
      <c r="Y107" s="24"/>
      <c r="Z107" s="24"/>
      <c r="AA107" s="25">
        <f t="shared" si="110"/>
        <v>1</v>
      </c>
      <c r="AB107" s="24">
        <f t="shared" si="111"/>
        <v>20000000</v>
      </c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>
        <f>+'[2]ENERO 2016'!$Z$227</f>
        <v>20000000</v>
      </c>
      <c r="AS107" s="24"/>
      <c r="AT107" s="24"/>
      <c r="AU107" s="24"/>
      <c r="AV107" s="24"/>
      <c r="AW107" s="25">
        <f t="shared" si="112"/>
        <v>0</v>
      </c>
      <c r="AX107" s="24">
        <f t="shared" si="113"/>
        <v>0</v>
      </c>
      <c r="AY107" s="24">
        <f t="shared" si="114"/>
        <v>0</v>
      </c>
      <c r="AZ107" s="24">
        <f t="shared" si="114"/>
        <v>0</v>
      </c>
      <c r="BA107" s="24">
        <f t="shared" si="114"/>
        <v>0</v>
      </c>
      <c r="BB107" s="24">
        <f t="shared" si="127"/>
        <v>0</v>
      </c>
      <c r="BC107" s="24">
        <f t="shared" si="127"/>
        <v>0</v>
      </c>
      <c r="BD107" s="24">
        <f t="shared" si="127"/>
        <v>0</v>
      </c>
      <c r="BE107" s="24">
        <f t="shared" si="127"/>
        <v>0</v>
      </c>
      <c r="BF107" s="24">
        <f t="shared" si="127"/>
        <v>0</v>
      </c>
      <c r="BG107" s="24">
        <f t="shared" si="127"/>
        <v>0</v>
      </c>
      <c r="BH107" s="24">
        <f t="shared" si="127"/>
        <v>0</v>
      </c>
      <c r="BI107" s="24">
        <f t="shared" si="127"/>
        <v>0</v>
      </c>
      <c r="BJ107" s="24">
        <f t="shared" si="127"/>
        <v>0</v>
      </c>
      <c r="BK107" s="24">
        <f t="shared" si="127"/>
        <v>0</v>
      </c>
      <c r="BL107" s="24">
        <f t="shared" si="127"/>
        <v>0</v>
      </c>
      <c r="BM107" s="24">
        <f t="shared" si="127"/>
        <v>0</v>
      </c>
      <c r="BN107" s="24"/>
      <c r="BO107" s="24"/>
      <c r="BP107" s="24">
        <f t="shared" si="116"/>
        <v>0</v>
      </c>
      <c r="BQ107" s="24">
        <f t="shared" si="128"/>
        <v>0</v>
      </c>
      <c r="BR107" s="25">
        <f t="shared" si="118"/>
        <v>0.95945619999999998</v>
      </c>
      <c r="BS107" s="24">
        <f t="shared" si="119"/>
        <v>19189124</v>
      </c>
      <c r="BT107" s="24"/>
      <c r="BU107" s="24"/>
      <c r="BV107" s="24"/>
      <c r="BW107" s="24"/>
      <c r="BX107" s="24"/>
      <c r="BY107" s="24"/>
      <c r="BZ107" s="24"/>
      <c r="CA107" s="24"/>
      <c r="CB107" s="24"/>
      <c r="CC107" s="24"/>
      <c r="CD107" s="24"/>
      <c r="CE107" s="24"/>
      <c r="CF107" s="24"/>
      <c r="CG107" s="24"/>
      <c r="CH107" s="24"/>
      <c r="CI107" s="24">
        <f>+'[4]AGOSTO 2016'!$H$899</f>
        <v>19189124</v>
      </c>
      <c r="CJ107" s="24"/>
      <c r="CK107" s="24"/>
      <c r="CL107" s="24"/>
      <c r="CM107" s="24"/>
      <c r="CN107" s="25">
        <f t="shared" si="120"/>
        <v>4.0543800000000019E-2</v>
      </c>
      <c r="CO107" s="24">
        <f t="shared" si="121"/>
        <v>810876</v>
      </c>
      <c r="CP107" s="24">
        <f t="shared" si="122"/>
        <v>0</v>
      </c>
      <c r="CQ107" s="24">
        <f t="shared" si="122"/>
        <v>0</v>
      </c>
      <c r="CR107" s="24">
        <f t="shared" si="122"/>
        <v>0</v>
      </c>
      <c r="CS107" s="24">
        <f t="shared" si="122"/>
        <v>0</v>
      </c>
      <c r="CT107" s="24">
        <f t="shared" si="122"/>
        <v>0</v>
      </c>
      <c r="CU107" s="24">
        <f t="shared" si="122"/>
        <v>0</v>
      </c>
      <c r="CV107" s="24">
        <f t="shared" si="129"/>
        <v>0</v>
      </c>
      <c r="CW107" s="24">
        <f t="shared" si="129"/>
        <v>0</v>
      </c>
      <c r="CX107" s="24">
        <f t="shared" si="122"/>
        <v>0</v>
      </c>
      <c r="CY107" s="24">
        <f t="shared" si="124"/>
        <v>0</v>
      </c>
      <c r="CZ107" s="24">
        <f t="shared" si="124"/>
        <v>0</v>
      </c>
      <c r="DA107" s="24">
        <f t="shared" si="124"/>
        <v>0</v>
      </c>
      <c r="DB107" s="24">
        <f t="shared" si="130"/>
        <v>0</v>
      </c>
      <c r="DC107" s="24">
        <f t="shared" si="130"/>
        <v>0</v>
      </c>
      <c r="DD107" s="24">
        <f t="shared" si="130"/>
        <v>810876</v>
      </c>
      <c r="DE107" s="24"/>
      <c r="DF107" s="24">
        <f t="shared" si="131"/>
        <v>0</v>
      </c>
      <c r="DG107" s="24">
        <f t="shared" si="131"/>
        <v>0</v>
      </c>
      <c r="DH107" s="24">
        <f t="shared" si="131"/>
        <v>0</v>
      </c>
    </row>
    <row r="108" spans="1:112" ht="24.75" customHeight="1" x14ac:dyDescent="0.25">
      <c r="A108" s="248"/>
      <c r="B108" s="233"/>
      <c r="C108" s="69" t="s">
        <v>301</v>
      </c>
      <c r="D108" s="21" t="s">
        <v>302</v>
      </c>
      <c r="E108" s="89">
        <v>301</v>
      </c>
      <c r="F108" s="23" t="s">
        <v>267</v>
      </c>
      <c r="G108" s="24">
        <f t="shared" si="109"/>
        <v>100000000</v>
      </c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>
        <v>100000000</v>
      </c>
      <c r="W108" s="24"/>
      <c r="X108" s="24"/>
      <c r="Y108" s="24"/>
      <c r="Z108" s="24"/>
      <c r="AA108" s="25">
        <f t="shared" si="110"/>
        <v>1</v>
      </c>
      <c r="AB108" s="24">
        <f t="shared" si="111"/>
        <v>100000000</v>
      </c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>
        <f>+'[8]ABRIL 2016'!$Z$480</f>
        <v>100000000</v>
      </c>
      <c r="AS108" s="24"/>
      <c r="AT108" s="24"/>
      <c r="AU108" s="24"/>
      <c r="AV108" s="24"/>
      <c r="AW108" s="25">
        <f t="shared" si="112"/>
        <v>0</v>
      </c>
      <c r="AX108" s="24">
        <f t="shared" si="113"/>
        <v>0</v>
      </c>
      <c r="AY108" s="24">
        <f t="shared" si="114"/>
        <v>0</v>
      </c>
      <c r="AZ108" s="24">
        <f t="shared" si="114"/>
        <v>0</v>
      </c>
      <c r="BA108" s="24">
        <f t="shared" si="114"/>
        <v>0</v>
      </c>
      <c r="BB108" s="24">
        <f t="shared" si="127"/>
        <v>0</v>
      </c>
      <c r="BC108" s="24">
        <f t="shared" si="127"/>
        <v>0</v>
      </c>
      <c r="BD108" s="24">
        <f t="shared" si="127"/>
        <v>0</v>
      </c>
      <c r="BE108" s="24">
        <f t="shared" si="127"/>
        <v>0</v>
      </c>
      <c r="BF108" s="24">
        <f t="shared" si="127"/>
        <v>0</v>
      </c>
      <c r="BG108" s="24">
        <f t="shared" si="127"/>
        <v>0</v>
      </c>
      <c r="BH108" s="24">
        <f t="shared" si="127"/>
        <v>0</v>
      </c>
      <c r="BI108" s="24">
        <f t="shared" si="127"/>
        <v>0</v>
      </c>
      <c r="BJ108" s="24">
        <f t="shared" si="127"/>
        <v>0</v>
      </c>
      <c r="BK108" s="24">
        <f t="shared" si="127"/>
        <v>0</v>
      </c>
      <c r="BL108" s="24">
        <f t="shared" si="127"/>
        <v>0</v>
      </c>
      <c r="BM108" s="24">
        <f t="shared" si="127"/>
        <v>0</v>
      </c>
      <c r="BN108" s="24"/>
      <c r="BO108" s="24"/>
      <c r="BP108" s="24">
        <f t="shared" si="116"/>
        <v>0</v>
      </c>
      <c r="BQ108" s="24">
        <f t="shared" si="128"/>
        <v>0</v>
      </c>
      <c r="BR108" s="25">
        <f t="shared" si="118"/>
        <v>0.97925450999999997</v>
      </c>
      <c r="BS108" s="24">
        <f t="shared" si="119"/>
        <v>97925451</v>
      </c>
      <c r="BT108" s="24"/>
      <c r="BU108" s="24"/>
      <c r="BV108" s="24"/>
      <c r="BW108" s="24"/>
      <c r="BX108" s="24"/>
      <c r="BY108" s="24"/>
      <c r="BZ108" s="24"/>
      <c r="CA108" s="24"/>
      <c r="CB108" s="24"/>
      <c r="CC108" s="24"/>
      <c r="CD108" s="24"/>
      <c r="CE108" s="24"/>
      <c r="CF108" s="24"/>
      <c r="CG108" s="24"/>
      <c r="CH108" s="24"/>
      <c r="CI108" s="24">
        <f>+'[1]SEPTIEMBRE 2016'!$H$1073</f>
        <v>97925451</v>
      </c>
      <c r="CJ108" s="24"/>
      <c r="CK108" s="24"/>
      <c r="CL108" s="24"/>
      <c r="CM108" s="24"/>
      <c r="CN108" s="25">
        <f t="shared" si="120"/>
        <v>2.0745490000000033E-2</v>
      </c>
      <c r="CO108" s="24">
        <f t="shared" si="121"/>
        <v>2074549</v>
      </c>
      <c r="CP108" s="24">
        <f t="shared" si="122"/>
        <v>0</v>
      </c>
      <c r="CQ108" s="24">
        <f t="shared" si="122"/>
        <v>0</v>
      </c>
      <c r="CR108" s="24">
        <f t="shared" si="122"/>
        <v>0</v>
      </c>
      <c r="CS108" s="24">
        <f t="shared" si="122"/>
        <v>0</v>
      </c>
      <c r="CT108" s="24">
        <f t="shared" si="122"/>
        <v>0</v>
      </c>
      <c r="CU108" s="24">
        <f t="shared" si="122"/>
        <v>0</v>
      </c>
      <c r="CV108" s="24">
        <f t="shared" si="129"/>
        <v>0</v>
      </c>
      <c r="CW108" s="24">
        <f t="shared" si="129"/>
        <v>0</v>
      </c>
      <c r="CX108" s="24">
        <f t="shared" si="122"/>
        <v>0</v>
      </c>
      <c r="CY108" s="24">
        <f t="shared" si="124"/>
        <v>0</v>
      </c>
      <c r="CZ108" s="24">
        <f t="shared" si="124"/>
        <v>0</v>
      </c>
      <c r="DA108" s="24">
        <f t="shared" si="124"/>
        <v>0</v>
      </c>
      <c r="DB108" s="24">
        <f t="shared" si="130"/>
        <v>0</v>
      </c>
      <c r="DC108" s="24">
        <f t="shared" si="130"/>
        <v>0</v>
      </c>
      <c r="DD108" s="24">
        <f t="shared" si="130"/>
        <v>2074549</v>
      </c>
      <c r="DE108" s="24"/>
      <c r="DF108" s="24">
        <f t="shared" si="131"/>
        <v>0</v>
      </c>
      <c r="DG108" s="24">
        <f t="shared" si="131"/>
        <v>0</v>
      </c>
      <c r="DH108" s="24">
        <f t="shared" si="131"/>
        <v>0</v>
      </c>
    </row>
    <row r="109" spans="1:112" ht="23.25" customHeight="1" x14ac:dyDescent="0.25">
      <c r="A109" s="248"/>
      <c r="B109" s="88" t="s">
        <v>303</v>
      </c>
      <c r="C109" s="69" t="s">
        <v>304</v>
      </c>
      <c r="D109" s="21" t="s">
        <v>305</v>
      </c>
      <c r="E109" s="89">
        <v>301</v>
      </c>
      <c r="F109" s="23" t="s">
        <v>267</v>
      </c>
      <c r="G109" s="24">
        <f t="shared" si="109"/>
        <v>50000000</v>
      </c>
      <c r="H109" s="24"/>
      <c r="I109" s="24">
        <f>50000000-50000000</f>
        <v>0</v>
      </c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>
        <f>21264791+28735209</f>
        <v>50000000</v>
      </c>
      <c r="V109" s="24"/>
      <c r="W109" s="24"/>
      <c r="X109" s="24"/>
      <c r="Y109" s="24"/>
      <c r="Z109" s="24"/>
      <c r="AA109" s="25">
        <f t="shared" si="110"/>
        <v>0.94517945999999997</v>
      </c>
      <c r="AB109" s="24">
        <f t="shared" si="111"/>
        <v>47258973</v>
      </c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>
        <f>+'[4]AGOSTO 2016'!$Y$941</f>
        <v>47258973</v>
      </c>
      <c r="AR109" s="24"/>
      <c r="AS109" s="24"/>
      <c r="AT109" s="24"/>
      <c r="AU109" s="24"/>
      <c r="AV109" s="24"/>
      <c r="AW109" s="25">
        <f t="shared" si="112"/>
        <v>5.4820540000000029E-2</v>
      </c>
      <c r="AX109" s="24">
        <f t="shared" si="113"/>
        <v>2741027</v>
      </c>
      <c r="AY109" s="24">
        <f t="shared" si="114"/>
        <v>0</v>
      </c>
      <c r="AZ109" s="24">
        <f t="shared" si="114"/>
        <v>0</v>
      </c>
      <c r="BA109" s="24">
        <f t="shared" si="114"/>
        <v>0</v>
      </c>
      <c r="BB109" s="24">
        <f t="shared" si="127"/>
        <v>0</v>
      </c>
      <c r="BC109" s="24">
        <f t="shared" si="127"/>
        <v>0</v>
      </c>
      <c r="BD109" s="24">
        <f t="shared" si="127"/>
        <v>0</v>
      </c>
      <c r="BE109" s="24">
        <f t="shared" si="127"/>
        <v>0</v>
      </c>
      <c r="BF109" s="24">
        <f t="shared" si="127"/>
        <v>0</v>
      </c>
      <c r="BG109" s="24">
        <f t="shared" si="127"/>
        <v>0</v>
      </c>
      <c r="BH109" s="24">
        <f t="shared" si="127"/>
        <v>0</v>
      </c>
      <c r="BI109" s="24">
        <f t="shared" si="127"/>
        <v>0</v>
      </c>
      <c r="BJ109" s="24">
        <f t="shared" si="127"/>
        <v>0</v>
      </c>
      <c r="BK109" s="24">
        <f t="shared" si="127"/>
        <v>0</v>
      </c>
      <c r="BL109" s="24">
        <f t="shared" si="127"/>
        <v>2741027</v>
      </c>
      <c r="BM109" s="24">
        <f t="shared" si="127"/>
        <v>0</v>
      </c>
      <c r="BN109" s="24"/>
      <c r="BO109" s="24"/>
      <c r="BP109" s="24">
        <f t="shared" si="116"/>
        <v>0</v>
      </c>
      <c r="BQ109" s="24">
        <f t="shared" si="128"/>
        <v>0</v>
      </c>
      <c r="BR109" s="25">
        <f t="shared" si="118"/>
        <v>0.94517945999999997</v>
      </c>
      <c r="BS109" s="24">
        <f t="shared" si="119"/>
        <v>47258973</v>
      </c>
      <c r="BT109" s="24"/>
      <c r="BU109" s="24"/>
      <c r="BV109" s="24"/>
      <c r="BW109" s="24"/>
      <c r="BX109" s="24"/>
      <c r="BY109" s="24"/>
      <c r="BZ109" s="24"/>
      <c r="CA109" s="24"/>
      <c r="CB109" s="24"/>
      <c r="CC109" s="24"/>
      <c r="CD109" s="24"/>
      <c r="CE109" s="24"/>
      <c r="CF109" s="24"/>
      <c r="CG109" s="24"/>
      <c r="CH109" s="24">
        <f>+'[4]AGOSTO 2016'!$H$939</f>
        <v>47258973</v>
      </c>
      <c r="CI109" s="24"/>
      <c r="CJ109" s="24"/>
      <c r="CK109" s="24"/>
      <c r="CL109" s="24"/>
      <c r="CM109" s="24"/>
      <c r="CN109" s="25">
        <f t="shared" si="120"/>
        <v>5.4820540000000029E-2</v>
      </c>
      <c r="CO109" s="24">
        <f t="shared" si="121"/>
        <v>2741027</v>
      </c>
      <c r="CP109" s="24">
        <f t="shared" si="122"/>
        <v>0</v>
      </c>
      <c r="CQ109" s="24">
        <f t="shared" si="122"/>
        <v>0</v>
      </c>
      <c r="CR109" s="24">
        <f t="shared" si="122"/>
        <v>0</v>
      </c>
      <c r="CS109" s="24">
        <f t="shared" si="122"/>
        <v>0</v>
      </c>
      <c r="CT109" s="24">
        <f t="shared" si="122"/>
        <v>0</v>
      </c>
      <c r="CU109" s="24">
        <f t="shared" si="122"/>
        <v>0</v>
      </c>
      <c r="CV109" s="24">
        <f t="shared" si="129"/>
        <v>0</v>
      </c>
      <c r="CW109" s="24">
        <f t="shared" si="129"/>
        <v>0</v>
      </c>
      <c r="CX109" s="24">
        <f t="shared" si="122"/>
        <v>0</v>
      </c>
      <c r="CY109" s="24">
        <f t="shared" si="124"/>
        <v>0</v>
      </c>
      <c r="CZ109" s="24">
        <f t="shared" si="124"/>
        <v>0</v>
      </c>
      <c r="DA109" s="24">
        <f t="shared" si="124"/>
        <v>0</v>
      </c>
      <c r="DB109" s="24">
        <f t="shared" si="130"/>
        <v>0</v>
      </c>
      <c r="DC109" s="24">
        <f t="shared" si="130"/>
        <v>2741027</v>
      </c>
      <c r="DD109" s="24">
        <f t="shared" si="130"/>
        <v>0</v>
      </c>
      <c r="DE109" s="24"/>
      <c r="DF109" s="24">
        <f t="shared" si="131"/>
        <v>0</v>
      </c>
      <c r="DG109" s="24">
        <f t="shared" si="131"/>
        <v>0</v>
      </c>
      <c r="DH109" s="24">
        <f t="shared" si="131"/>
        <v>0</v>
      </c>
    </row>
    <row r="110" spans="1:112" ht="23.25" customHeight="1" x14ac:dyDescent="0.25">
      <c r="A110" s="90"/>
      <c r="B110" s="91"/>
      <c r="C110" s="69" t="s">
        <v>306</v>
      </c>
      <c r="D110" s="92" t="s">
        <v>307</v>
      </c>
      <c r="E110" s="22">
        <v>301</v>
      </c>
      <c r="F110" s="93" t="s">
        <v>308</v>
      </c>
      <c r="G110" s="24">
        <f t="shared" si="109"/>
        <v>30000000</v>
      </c>
      <c r="H110" s="72"/>
      <c r="I110" s="72">
        <v>30000000</v>
      </c>
      <c r="J110" s="72"/>
      <c r="K110" s="72"/>
      <c r="L110" s="72"/>
      <c r="M110" s="72"/>
      <c r="N110" s="72"/>
      <c r="O110" s="72"/>
      <c r="P110" s="72"/>
      <c r="Q110" s="72"/>
      <c r="R110" s="72"/>
      <c r="S110" s="72"/>
      <c r="T110" s="72"/>
      <c r="U110" s="72"/>
      <c r="V110" s="72"/>
      <c r="W110" s="72"/>
      <c r="X110" s="72"/>
      <c r="Y110" s="72"/>
      <c r="Z110" s="72"/>
      <c r="AA110" s="25">
        <f t="shared" si="110"/>
        <v>0</v>
      </c>
      <c r="AB110" s="24">
        <f t="shared" si="111"/>
        <v>0</v>
      </c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25">
        <f t="shared" si="112"/>
        <v>1</v>
      </c>
      <c r="AX110" s="24">
        <f t="shared" si="113"/>
        <v>30000000</v>
      </c>
      <c r="AY110" s="72"/>
      <c r="AZ110" s="24">
        <f>I110-AE110</f>
        <v>30000000</v>
      </c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25">
        <f t="shared" si="118"/>
        <v>0</v>
      </c>
      <c r="BS110" s="24">
        <f t="shared" si="119"/>
        <v>0</v>
      </c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25">
        <f t="shared" si="120"/>
        <v>1</v>
      </c>
      <c r="CO110" s="24">
        <f t="shared" si="121"/>
        <v>30000000</v>
      </c>
      <c r="CP110" s="72"/>
      <c r="CQ110" s="24">
        <f>I110-BV110</f>
        <v>30000000</v>
      </c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24"/>
    </row>
    <row r="111" spans="1:112" ht="19.5" customHeight="1" x14ac:dyDescent="0.25">
      <c r="A111" s="90"/>
      <c r="B111" s="91"/>
      <c r="C111" s="69" t="s">
        <v>309</v>
      </c>
      <c r="D111" s="92" t="s">
        <v>310</v>
      </c>
      <c r="E111" s="22">
        <v>301</v>
      </c>
      <c r="F111" s="93" t="s">
        <v>308</v>
      </c>
      <c r="G111" s="24">
        <f t="shared" si="109"/>
        <v>80000000</v>
      </c>
      <c r="H111" s="72"/>
      <c r="I111" s="72">
        <v>80000000</v>
      </c>
      <c r="J111" s="72"/>
      <c r="K111" s="72"/>
      <c r="L111" s="72"/>
      <c r="M111" s="72"/>
      <c r="N111" s="72"/>
      <c r="O111" s="72"/>
      <c r="P111" s="72"/>
      <c r="Q111" s="72"/>
      <c r="R111" s="72"/>
      <c r="S111" s="72"/>
      <c r="T111" s="72"/>
      <c r="U111" s="72"/>
      <c r="V111" s="72"/>
      <c r="W111" s="72"/>
      <c r="X111" s="72"/>
      <c r="Y111" s="72"/>
      <c r="Z111" s="72"/>
      <c r="AA111" s="25">
        <f t="shared" si="110"/>
        <v>0</v>
      </c>
      <c r="AB111" s="24">
        <f t="shared" si="111"/>
        <v>0</v>
      </c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25">
        <f t="shared" si="112"/>
        <v>1</v>
      </c>
      <c r="AX111" s="24">
        <f t="shared" si="113"/>
        <v>80000000</v>
      </c>
      <c r="AY111" s="72"/>
      <c r="AZ111" s="24">
        <f>I111-AE111</f>
        <v>80000000</v>
      </c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25">
        <f t="shared" si="118"/>
        <v>0</v>
      </c>
      <c r="BS111" s="24">
        <f t="shared" si="119"/>
        <v>0</v>
      </c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25">
        <f t="shared" si="120"/>
        <v>1</v>
      </c>
      <c r="CO111" s="24">
        <f t="shared" si="121"/>
        <v>80000000</v>
      </c>
      <c r="CP111" s="72"/>
      <c r="CQ111" s="24">
        <f>I111-BV111</f>
        <v>80000000</v>
      </c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24"/>
    </row>
    <row r="112" spans="1:112" ht="30" x14ac:dyDescent="0.25">
      <c r="A112" s="90"/>
      <c r="B112" s="91"/>
      <c r="C112" s="69" t="s">
        <v>311</v>
      </c>
      <c r="D112" s="92" t="s">
        <v>312</v>
      </c>
      <c r="E112" s="22">
        <v>301</v>
      </c>
      <c r="F112" s="93" t="s">
        <v>308</v>
      </c>
      <c r="G112" s="24">
        <f t="shared" si="109"/>
        <v>75000000</v>
      </c>
      <c r="H112" s="72"/>
      <c r="I112" s="72">
        <v>75000000</v>
      </c>
      <c r="J112" s="72"/>
      <c r="K112" s="72"/>
      <c r="L112" s="72"/>
      <c r="M112" s="72"/>
      <c r="N112" s="72"/>
      <c r="O112" s="72"/>
      <c r="P112" s="72"/>
      <c r="Q112" s="72"/>
      <c r="R112" s="72"/>
      <c r="S112" s="72"/>
      <c r="T112" s="72"/>
      <c r="U112" s="72"/>
      <c r="V112" s="72"/>
      <c r="W112" s="72"/>
      <c r="X112" s="72"/>
      <c r="Y112" s="72"/>
      <c r="Z112" s="72"/>
      <c r="AA112" s="25">
        <f t="shared" si="110"/>
        <v>4.8000000000000001E-2</v>
      </c>
      <c r="AB112" s="24">
        <f t="shared" si="111"/>
        <v>3600000</v>
      </c>
      <c r="AC112" s="72"/>
      <c r="AD112" s="72"/>
      <c r="AE112" s="72">
        <f>+'[1]SEPTIEMBRE 2016'!$M$1152</f>
        <v>3600000</v>
      </c>
      <c r="AF112" s="72"/>
      <c r="AG112" s="72"/>
      <c r="AH112" s="72"/>
      <c r="AI112" s="72"/>
      <c r="AJ112" s="72"/>
      <c r="AK112" s="72"/>
      <c r="AL112" s="72"/>
      <c r="AM112" s="72"/>
      <c r="AN112" s="72"/>
      <c r="AO112" s="72"/>
      <c r="AP112" s="72"/>
      <c r="AQ112" s="72"/>
      <c r="AR112" s="72"/>
      <c r="AS112" s="72"/>
      <c r="AT112" s="72"/>
      <c r="AU112" s="72"/>
      <c r="AV112" s="72"/>
      <c r="AW112" s="25">
        <f t="shared" si="112"/>
        <v>0.95199999999999996</v>
      </c>
      <c r="AX112" s="24">
        <f t="shared" si="113"/>
        <v>71400000</v>
      </c>
      <c r="AY112" s="72"/>
      <c r="AZ112" s="24">
        <f>I112-AE112</f>
        <v>71400000</v>
      </c>
      <c r="BA112" s="72"/>
      <c r="BB112" s="72"/>
      <c r="BC112" s="72"/>
      <c r="BD112" s="72"/>
      <c r="BE112" s="72"/>
      <c r="BF112" s="72"/>
      <c r="BG112" s="72"/>
      <c r="BH112" s="72"/>
      <c r="BI112" s="72"/>
      <c r="BJ112" s="72"/>
      <c r="BK112" s="72"/>
      <c r="BL112" s="72"/>
      <c r="BM112" s="72"/>
      <c r="BN112" s="72"/>
      <c r="BO112" s="72"/>
      <c r="BP112" s="72"/>
      <c r="BQ112" s="72"/>
      <c r="BR112" s="25">
        <f t="shared" si="118"/>
        <v>0</v>
      </c>
      <c r="BS112" s="24">
        <f t="shared" si="119"/>
        <v>0</v>
      </c>
      <c r="BT112" s="72"/>
      <c r="BU112" s="72"/>
      <c r="BV112" s="72"/>
      <c r="BW112" s="72"/>
      <c r="BX112" s="72"/>
      <c r="BY112" s="72"/>
      <c r="BZ112" s="72"/>
      <c r="CA112" s="72"/>
      <c r="CB112" s="72"/>
      <c r="CC112" s="72"/>
      <c r="CD112" s="72"/>
      <c r="CE112" s="72"/>
      <c r="CF112" s="72"/>
      <c r="CG112" s="72"/>
      <c r="CH112" s="72"/>
      <c r="CI112" s="72"/>
      <c r="CJ112" s="72"/>
      <c r="CK112" s="72"/>
      <c r="CL112" s="72"/>
      <c r="CM112" s="72"/>
      <c r="CN112" s="25">
        <f t="shared" si="120"/>
        <v>1</v>
      </c>
      <c r="CO112" s="24">
        <f t="shared" si="121"/>
        <v>75000000</v>
      </c>
      <c r="CP112" s="72"/>
      <c r="CQ112" s="24">
        <f>I112-BV112</f>
        <v>75000000</v>
      </c>
      <c r="CR112" s="72"/>
      <c r="CS112" s="72"/>
      <c r="CT112" s="72"/>
      <c r="CU112" s="72"/>
      <c r="CV112" s="72"/>
      <c r="CW112" s="72"/>
      <c r="CX112" s="72"/>
      <c r="CY112" s="72"/>
      <c r="CZ112" s="72"/>
      <c r="DA112" s="72"/>
      <c r="DB112" s="72"/>
      <c r="DC112" s="72"/>
      <c r="DD112" s="72"/>
      <c r="DE112" s="72"/>
      <c r="DF112" s="72"/>
      <c r="DG112" s="72"/>
      <c r="DH112" s="24"/>
    </row>
    <row r="113" spans="1:113" s="43" customFormat="1" ht="21" customHeight="1" thickBot="1" x14ac:dyDescent="0.3">
      <c r="A113" s="73"/>
      <c r="B113" s="249" t="s">
        <v>313</v>
      </c>
      <c r="C113" s="250"/>
      <c r="D113" s="250"/>
      <c r="E113" s="250"/>
      <c r="F113" s="251"/>
      <c r="G113" s="61">
        <f>SUM(G95:G112)</f>
        <v>2949123548</v>
      </c>
      <c r="H113" s="61">
        <f t="shared" ref="H113:Z113" si="132">SUM(H95:H112)</f>
        <v>200000000</v>
      </c>
      <c r="I113" s="61">
        <f t="shared" si="132"/>
        <v>453168096</v>
      </c>
      <c r="J113" s="61">
        <f t="shared" si="132"/>
        <v>0</v>
      </c>
      <c r="K113" s="61">
        <f t="shared" si="132"/>
        <v>701280247</v>
      </c>
      <c r="L113" s="61">
        <f t="shared" si="132"/>
        <v>0</v>
      </c>
      <c r="M113" s="61">
        <f t="shared" si="132"/>
        <v>0</v>
      </c>
      <c r="N113" s="61">
        <f t="shared" si="132"/>
        <v>0</v>
      </c>
      <c r="O113" s="61">
        <f t="shared" si="132"/>
        <v>0</v>
      </c>
      <c r="P113" s="61">
        <f t="shared" si="132"/>
        <v>0</v>
      </c>
      <c r="Q113" s="61">
        <f t="shared" si="132"/>
        <v>0</v>
      </c>
      <c r="R113" s="61">
        <f t="shared" si="132"/>
        <v>0</v>
      </c>
      <c r="S113" s="61">
        <f t="shared" si="132"/>
        <v>0</v>
      </c>
      <c r="T113" s="61">
        <f t="shared" si="132"/>
        <v>0</v>
      </c>
      <c r="U113" s="61">
        <f t="shared" si="132"/>
        <v>245242997</v>
      </c>
      <c r="V113" s="61">
        <f t="shared" si="132"/>
        <v>1262551657</v>
      </c>
      <c r="W113" s="61">
        <f t="shared" si="132"/>
        <v>0</v>
      </c>
      <c r="X113" s="61">
        <f t="shared" si="132"/>
        <v>0</v>
      </c>
      <c r="Y113" s="61">
        <f t="shared" si="132"/>
        <v>0</v>
      </c>
      <c r="Z113" s="61">
        <f t="shared" si="132"/>
        <v>86880551</v>
      </c>
      <c r="AA113" s="39">
        <f t="shared" si="110"/>
        <v>0.85205638017576879</v>
      </c>
      <c r="AB113" s="61">
        <f>SUM(AB95:AB112)</f>
        <v>2512819535</v>
      </c>
      <c r="AC113" s="61"/>
      <c r="AD113" s="61">
        <f t="shared" ref="AD113:AV113" si="133">SUM(AD95:AD112)</f>
        <v>198408143</v>
      </c>
      <c r="AE113" s="61">
        <f t="shared" si="133"/>
        <v>271768096</v>
      </c>
      <c r="AF113" s="61">
        <f t="shared" si="133"/>
        <v>0</v>
      </c>
      <c r="AG113" s="61">
        <f t="shared" si="133"/>
        <v>701280247</v>
      </c>
      <c r="AH113" s="61">
        <f t="shared" si="133"/>
        <v>0</v>
      </c>
      <c r="AI113" s="61">
        <f t="shared" si="133"/>
        <v>0</v>
      </c>
      <c r="AJ113" s="61">
        <f t="shared" si="133"/>
        <v>0</v>
      </c>
      <c r="AK113" s="61">
        <f t="shared" si="133"/>
        <v>0</v>
      </c>
      <c r="AL113" s="61">
        <f t="shared" si="133"/>
        <v>0</v>
      </c>
      <c r="AM113" s="61">
        <f t="shared" si="133"/>
        <v>0</v>
      </c>
      <c r="AN113" s="61">
        <f t="shared" si="133"/>
        <v>0</v>
      </c>
      <c r="AO113" s="61">
        <f t="shared" si="133"/>
        <v>0</v>
      </c>
      <c r="AP113" s="61">
        <f t="shared" si="133"/>
        <v>0</v>
      </c>
      <c r="AQ113" s="61">
        <f t="shared" si="133"/>
        <v>150327287</v>
      </c>
      <c r="AR113" s="61">
        <f t="shared" si="133"/>
        <v>1158469451</v>
      </c>
      <c r="AS113" s="61">
        <f t="shared" si="133"/>
        <v>0</v>
      </c>
      <c r="AT113" s="61">
        <f t="shared" si="133"/>
        <v>0</v>
      </c>
      <c r="AU113" s="61">
        <f t="shared" si="133"/>
        <v>0</v>
      </c>
      <c r="AV113" s="61">
        <f t="shared" si="133"/>
        <v>32566311</v>
      </c>
      <c r="AW113" s="39">
        <f t="shared" si="112"/>
        <v>0.14794361982423121</v>
      </c>
      <c r="AX113" s="61">
        <f>SUM(AX95:AX112)</f>
        <v>436304013</v>
      </c>
      <c r="AY113" s="61">
        <f t="shared" ref="AY113:BQ113" si="134">SUM(AY95:AY112)</f>
        <v>1591857</v>
      </c>
      <c r="AZ113" s="61">
        <f t="shared" si="134"/>
        <v>181400000</v>
      </c>
      <c r="BA113" s="61">
        <f t="shared" si="134"/>
        <v>0</v>
      </c>
      <c r="BB113" s="61">
        <f t="shared" si="134"/>
        <v>0</v>
      </c>
      <c r="BC113" s="61">
        <f t="shared" si="134"/>
        <v>0</v>
      </c>
      <c r="BD113" s="61">
        <f t="shared" si="134"/>
        <v>0</v>
      </c>
      <c r="BE113" s="61">
        <f t="shared" si="134"/>
        <v>0</v>
      </c>
      <c r="BF113" s="61">
        <f t="shared" si="134"/>
        <v>0</v>
      </c>
      <c r="BG113" s="61">
        <f t="shared" si="134"/>
        <v>0</v>
      </c>
      <c r="BH113" s="61">
        <f t="shared" si="134"/>
        <v>0</v>
      </c>
      <c r="BI113" s="61">
        <f t="shared" si="134"/>
        <v>0</v>
      </c>
      <c r="BJ113" s="61">
        <f t="shared" si="134"/>
        <v>0</v>
      </c>
      <c r="BK113" s="61">
        <f t="shared" si="134"/>
        <v>0</v>
      </c>
      <c r="BL113" s="61">
        <f t="shared" si="134"/>
        <v>94915710</v>
      </c>
      <c r="BM113" s="61">
        <f t="shared" si="134"/>
        <v>104082206</v>
      </c>
      <c r="BN113" s="61">
        <f t="shared" si="134"/>
        <v>0</v>
      </c>
      <c r="BO113" s="61">
        <f t="shared" si="134"/>
        <v>0</v>
      </c>
      <c r="BP113" s="61">
        <f t="shared" si="134"/>
        <v>0</v>
      </c>
      <c r="BQ113" s="61">
        <f t="shared" si="134"/>
        <v>54314240</v>
      </c>
      <c r="BR113" s="39">
        <f t="shared" si="118"/>
        <v>0.79096945924220063</v>
      </c>
      <c r="BS113" s="61">
        <f>SUM(BS95:BS112)</f>
        <v>2332666658</v>
      </c>
      <c r="BT113" s="61">
        <f>SUM(BT95:BT109)</f>
        <v>0</v>
      </c>
      <c r="BU113" s="61">
        <f t="shared" ref="BU113:CM113" si="135">SUM(BU95:BU112)</f>
        <v>198408143</v>
      </c>
      <c r="BV113" s="61">
        <f t="shared" si="135"/>
        <v>268168096</v>
      </c>
      <c r="BW113" s="61">
        <f t="shared" si="135"/>
        <v>0</v>
      </c>
      <c r="BX113" s="61">
        <f t="shared" si="135"/>
        <v>701280247</v>
      </c>
      <c r="BY113" s="61">
        <f t="shared" si="135"/>
        <v>0</v>
      </c>
      <c r="BZ113" s="61">
        <f t="shared" si="135"/>
        <v>0</v>
      </c>
      <c r="CA113" s="61">
        <f t="shared" si="135"/>
        <v>0</v>
      </c>
      <c r="CB113" s="61">
        <f t="shared" si="135"/>
        <v>0</v>
      </c>
      <c r="CC113" s="61">
        <f t="shared" si="135"/>
        <v>0</v>
      </c>
      <c r="CD113" s="61">
        <f t="shared" si="135"/>
        <v>0</v>
      </c>
      <c r="CE113" s="61">
        <f t="shared" si="135"/>
        <v>0</v>
      </c>
      <c r="CF113" s="61">
        <f t="shared" si="135"/>
        <v>0</v>
      </c>
      <c r="CG113" s="61">
        <f t="shared" si="135"/>
        <v>0</v>
      </c>
      <c r="CH113" s="61">
        <f t="shared" si="135"/>
        <v>89000967</v>
      </c>
      <c r="CI113" s="61">
        <f t="shared" si="135"/>
        <v>1044337414</v>
      </c>
      <c r="CJ113" s="61">
        <f t="shared" si="135"/>
        <v>0</v>
      </c>
      <c r="CK113" s="61">
        <f t="shared" si="135"/>
        <v>0</v>
      </c>
      <c r="CL113" s="61">
        <f t="shared" si="135"/>
        <v>0</v>
      </c>
      <c r="CM113" s="61">
        <f t="shared" si="135"/>
        <v>31471791</v>
      </c>
      <c r="CN113" s="39">
        <f t="shared" si="120"/>
        <v>0.20903054075779937</v>
      </c>
      <c r="CO113" s="61">
        <f>SUM(CO95:CO112)</f>
        <v>616456890</v>
      </c>
      <c r="CP113" s="61">
        <f t="shared" ref="CP113:DH113" si="136">SUM(CP95:CP112)</f>
        <v>1591857</v>
      </c>
      <c r="CQ113" s="61">
        <f t="shared" si="136"/>
        <v>185000000</v>
      </c>
      <c r="CR113" s="61">
        <f t="shared" si="136"/>
        <v>0</v>
      </c>
      <c r="CS113" s="61">
        <f t="shared" si="136"/>
        <v>0</v>
      </c>
      <c r="CT113" s="61">
        <f t="shared" si="136"/>
        <v>0</v>
      </c>
      <c r="CU113" s="61">
        <f t="shared" si="136"/>
        <v>0</v>
      </c>
      <c r="CV113" s="61">
        <f t="shared" si="136"/>
        <v>0</v>
      </c>
      <c r="CW113" s="61">
        <f t="shared" si="136"/>
        <v>0</v>
      </c>
      <c r="CX113" s="61">
        <f t="shared" si="136"/>
        <v>0</v>
      </c>
      <c r="CY113" s="61">
        <f t="shared" si="136"/>
        <v>0</v>
      </c>
      <c r="CZ113" s="61">
        <f t="shared" si="136"/>
        <v>0</v>
      </c>
      <c r="DA113" s="61">
        <f t="shared" si="136"/>
        <v>0</v>
      </c>
      <c r="DB113" s="61">
        <f t="shared" si="136"/>
        <v>0</v>
      </c>
      <c r="DC113" s="61">
        <f t="shared" si="136"/>
        <v>156242030</v>
      </c>
      <c r="DD113" s="61">
        <f t="shared" si="136"/>
        <v>218214243</v>
      </c>
      <c r="DE113" s="61">
        <f t="shared" si="136"/>
        <v>0</v>
      </c>
      <c r="DF113" s="61">
        <f t="shared" si="136"/>
        <v>0</v>
      </c>
      <c r="DG113" s="61">
        <f t="shared" si="136"/>
        <v>0</v>
      </c>
      <c r="DH113" s="61">
        <f t="shared" si="136"/>
        <v>55408760</v>
      </c>
    </row>
    <row r="114" spans="1:113" ht="51" customHeight="1" thickTop="1" x14ac:dyDescent="0.25">
      <c r="A114" s="241" t="s">
        <v>314</v>
      </c>
      <c r="B114" s="237" t="s">
        <v>315</v>
      </c>
      <c r="C114" s="69" t="s">
        <v>316</v>
      </c>
      <c r="D114" s="21" t="s">
        <v>317</v>
      </c>
      <c r="E114" s="94">
        <v>111</v>
      </c>
      <c r="F114" s="23" t="s">
        <v>318</v>
      </c>
      <c r="G114" s="24">
        <f t="shared" ref="G114:G132" si="137">SUM(H114:Z114)</f>
        <v>3613217579</v>
      </c>
      <c r="H114" s="24"/>
      <c r="I114" s="24">
        <f>2264025000+1062351800-228708462</f>
        <v>3097668338</v>
      </c>
      <c r="J114" s="24">
        <f>72450095-52147109</f>
        <v>20302986</v>
      </c>
      <c r="K114" s="24"/>
      <c r="L114" s="24"/>
      <c r="M114" s="24">
        <f>54387</f>
        <v>54387</v>
      </c>
      <c r="N114" s="24">
        <f>30665828</f>
        <v>30665828</v>
      </c>
      <c r="O114" s="24">
        <f>1940856</f>
        <v>1940856</v>
      </c>
      <c r="P114" s="24"/>
      <c r="Q114" s="54">
        <f>60000000+100000000</f>
        <v>160000000</v>
      </c>
      <c r="R114" s="24"/>
      <c r="S114" s="24"/>
      <c r="T114" s="24"/>
      <c r="U114" s="24"/>
      <c r="V114" s="24"/>
      <c r="W114" s="24"/>
      <c r="X114" s="24"/>
      <c r="Y114" s="24"/>
      <c r="Z114" s="24">
        <f>28000000+784585184-485000000-9000000-16000000</f>
        <v>302585184</v>
      </c>
      <c r="AA114" s="25">
        <f t="shared" si="110"/>
        <v>0.36752330518870202</v>
      </c>
      <c r="AB114" s="24">
        <f t="shared" ref="AB114:AB132" si="138">SUM(AC114:AV114)</f>
        <v>1327941667</v>
      </c>
      <c r="AC114" s="24"/>
      <c r="AD114" s="24"/>
      <c r="AE114" s="24">
        <f>+'[1]SEPTIEMBRE 2016'!$M$18</f>
        <v>1326262451</v>
      </c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>
        <f>+'[4]AGOSTO 2016'!$AG$18</f>
        <v>1679216</v>
      </c>
      <c r="AW114" s="25">
        <f t="shared" si="112"/>
        <v>0.63247669481129798</v>
      </c>
      <c r="AX114" s="24">
        <f t="shared" ref="AX114:AX132" si="139">SUM(AY114:BQ114)</f>
        <v>2285275912</v>
      </c>
      <c r="AY114" s="24">
        <f t="shared" ref="AY114:BM125" si="140">H114-AD114</f>
        <v>0</v>
      </c>
      <c r="AZ114" s="24">
        <f t="shared" si="140"/>
        <v>1771405887</v>
      </c>
      <c r="BA114" s="24">
        <f t="shared" si="140"/>
        <v>20302986</v>
      </c>
      <c r="BB114" s="24">
        <f t="shared" ref="BB114:BM124" si="141">+K114-AG114</f>
        <v>0</v>
      </c>
      <c r="BC114" s="24">
        <f t="shared" si="141"/>
        <v>0</v>
      </c>
      <c r="BD114" s="24">
        <f t="shared" si="141"/>
        <v>54387</v>
      </c>
      <c r="BE114" s="24">
        <f t="shared" si="141"/>
        <v>30665828</v>
      </c>
      <c r="BF114" s="24">
        <f t="shared" si="141"/>
        <v>1940856</v>
      </c>
      <c r="BG114" s="24">
        <f t="shared" si="141"/>
        <v>0</v>
      </c>
      <c r="BH114" s="24">
        <f t="shared" si="141"/>
        <v>160000000</v>
      </c>
      <c r="BI114" s="24">
        <f t="shared" si="141"/>
        <v>0</v>
      </c>
      <c r="BJ114" s="24">
        <f t="shared" si="141"/>
        <v>0</v>
      </c>
      <c r="BK114" s="24">
        <f t="shared" si="141"/>
        <v>0</v>
      </c>
      <c r="BL114" s="24">
        <f t="shared" si="141"/>
        <v>0</v>
      </c>
      <c r="BM114" s="24">
        <f t="shared" si="141"/>
        <v>0</v>
      </c>
      <c r="BN114" s="24"/>
      <c r="BO114" s="24"/>
      <c r="BP114" s="24">
        <f t="shared" ref="BP114:BP125" si="142">Y114-AU114</f>
        <v>0</v>
      </c>
      <c r="BQ114" s="24">
        <f t="shared" ref="BQ114:BQ124" si="143">+Z114-AV114</f>
        <v>300905968</v>
      </c>
      <c r="BR114" s="25">
        <f t="shared" si="118"/>
        <v>0.36752330518870202</v>
      </c>
      <c r="BS114" s="24">
        <f t="shared" ref="BS114:BS132" si="144">SUM(BT114:CM114)</f>
        <v>1327941667</v>
      </c>
      <c r="BT114" s="24"/>
      <c r="BU114" s="24"/>
      <c r="BV114" s="24">
        <f>+'[1]SEPTIEMBRE 2016'!$M$18</f>
        <v>1326262451</v>
      </c>
      <c r="BW114" s="24"/>
      <c r="BX114" s="24"/>
      <c r="BY114" s="24"/>
      <c r="BZ114" s="24"/>
      <c r="CA114" s="24"/>
      <c r="CB114" s="24"/>
      <c r="CC114" s="24"/>
      <c r="CD114" s="24"/>
      <c r="CE114" s="24"/>
      <c r="CF114" s="24"/>
      <c r="CG114" s="24"/>
      <c r="CH114" s="24"/>
      <c r="CI114" s="24"/>
      <c r="CJ114" s="24"/>
      <c r="CK114" s="24"/>
      <c r="CL114" s="24"/>
      <c r="CM114" s="24">
        <f>+'[4]AGOSTO 2016'!$H$29</f>
        <v>1679216</v>
      </c>
      <c r="CN114" s="25">
        <f t="shared" si="120"/>
        <v>0.63247669481129798</v>
      </c>
      <c r="CO114" s="24">
        <f t="shared" ref="CO114:CO132" si="145">SUM(CP114:DH114)</f>
        <v>2285275912</v>
      </c>
      <c r="CP114" s="24">
        <f t="shared" ref="CP114:CU125" si="146">H114-BU114</f>
        <v>0</v>
      </c>
      <c r="CQ114" s="24">
        <f t="shared" si="146"/>
        <v>1771405887</v>
      </c>
      <c r="CR114" s="24">
        <f t="shared" si="146"/>
        <v>20302986</v>
      </c>
      <c r="CS114" s="24">
        <f t="shared" si="146"/>
        <v>0</v>
      </c>
      <c r="CT114" s="24">
        <f t="shared" si="146"/>
        <v>0</v>
      </c>
      <c r="CU114" s="24">
        <f t="shared" si="146"/>
        <v>54387</v>
      </c>
      <c r="CV114" s="24">
        <f t="shared" ref="CV114:CX124" si="147">+N114-CA114</f>
        <v>30665828</v>
      </c>
      <c r="CW114" s="24">
        <f t="shared" si="147"/>
        <v>1940856</v>
      </c>
      <c r="CX114" s="24">
        <f t="shared" si="147"/>
        <v>0</v>
      </c>
      <c r="CY114" s="24">
        <f t="shared" ref="CY114:DA125" si="148">Q114-CD114</f>
        <v>160000000</v>
      </c>
      <c r="CZ114" s="24">
        <f t="shared" si="148"/>
        <v>0</v>
      </c>
      <c r="DA114" s="24">
        <f t="shared" si="148"/>
        <v>0</v>
      </c>
      <c r="DB114" s="24">
        <f t="shared" ref="DB114:DD124" si="149">+T114-CG114</f>
        <v>0</v>
      </c>
      <c r="DC114" s="24">
        <f t="shared" si="149"/>
        <v>0</v>
      </c>
      <c r="DD114" s="24">
        <f t="shared" si="149"/>
        <v>0</v>
      </c>
      <c r="DE114" s="24"/>
      <c r="DF114" s="24">
        <f t="shared" ref="DF114:DH124" si="150">+X114-CK114</f>
        <v>0</v>
      </c>
      <c r="DG114" s="24">
        <f t="shared" si="150"/>
        <v>0</v>
      </c>
      <c r="DH114" s="24">
        <f t="shared" si="150"/>
        <v>300905968</v>
      </c>
    </row>
    <row r="115" spans="1:113" s="58" customFormat="1" ht="36" customHeight="1" x14ac:dyDescent="0.25">
      <c r="A115" s="238"/>
      <c r="B115" s="232"/>
      <c r="C115" s="55" t="s">
        <v>319</v>
      </c>
      <c r="D115" s="21" t="s">
        <v>320</v>
      </c>
      <c r="E115" s="89">
        <v>111</v>
      </c>
      <c r="F115" s="23" t="s">
        <v>321</v>
      </c>
      <c r="G115" s="24">
        <f t="shared" si="137"/>
        <v>1187573002</v>
      </c>
      <c r="H115" s="54"/>
      <c r="I115" s="54">
        <f>982978733+50000000</f>
        <v>1032978733</v>
      </c>
      <c r="J115" s="54">
        <v>39062301</v>
      </c>
      <c r="K115" s="54"/>
      <c r="L115" s="54"/>
      <c r="M115" s="54"/>
      <c r="N115" s="54"/>
      <c r="O115" s="54"/>
      <c r="P115" s="54">
        <f>3438802</f>
        <v>3438802</v>
      </c>
      <c r="Q115" s="54">
        <f>50000000</f>
        <v>50000000</v>
      </c>
      <c r="R115" s="54"/>
      <c r="S115" s="54"/>
      <c r="T115" s="54"/>
      <c r="U115" s="54"/>
      <c r="V115" s="54"/>
      <c r="W115" s="54"/>
      <c r="X115" s="54"/>
      <c r="Y115" s="54"/>
      <c r="Z115" s="54">
        <f>12000000+1000000+2897715+16000000+3195451+27000000</f>
        <v>62093166</v>
      </c>
      <c r="AA115" s="57">
        <f t="shared" si="110"/>
        <v>0.9516656576872905</v>
      </c>
      <c r="AB115" s="24">
        <f t="shared" si="138"/>
        <v>1130172442</v>
      </c>
      <c r="AC115" s="54"/>
      <c r="AD115" s="54"/>
      <c r="AE115" s="54">
        <f>+'[1]SEPTIEMBRE 2016'!$M$35</f>
        <v>1018550836</v>
      </c>
      <c r="AF115" s="54">
        <f>+'[1]SEPTIEMBRE 2016'!$N$35</f>
        <v>37587370</v>
      </c>
      <c r="AG115" s="54"/>
      <c r="AH115" s="54"/>
      <c r="AI115" s="54"/>
      <c r="AJ115" s="54"/>
      <c r="AK115" s="54"/>
      <c r="AL115" s="54">
        <f>+'[1]SEPTIEMBRE 2016'!$T$35</f>
        <v>300000</v>
      </c>
      <c r="AM115" s="24">
        <f>+'[7]MAYO 2016'!$U$31</f>
        <v>49856575</v>
      </c>
      <c r="AN115" s="54"/>
      <c r="AO115" s="54"/>
      <c r="AP115" s="54"/>
      <c r="AQ115" s="54"/>
      <c r="AR115" s="54"/>
      <c r="AS115" s="54"/>
      <c r="AT115" s="54"/>
      <c r="AU115" s="54"/>
      <c r="AV115" s="54">
        <f>+'[1]SEPTIEMBRE 2016'!$AG$35</f>
        <v>23877661</v>
      </c>
      <c r="AW115" s="57">
        <f t="shared" si="112"/>
        <v>4.83343423127095E-2</v>
      </c>
      <c r="AX115" s="24">
        <f t="shared" si="139"/>
        <v>57400560</v>
      </c>
      <c r="AY115" s="54">
        <f t="shared" si="140"/>
        <v>0</v>
      </c>
      <c r="AZ115" s="54">
        <f t="shared" si="140"/>
        <v>14427897</v>
      </c>
      <c r="BA115" s="54">
        <f t="shared" si="140"/>
        <v>1474931</v>
      </c>
      <c r="BB115" s="54">
        <f t="shared" si="141"/>
        <v>0</v>
      </c>
      <c r="BC115" s="54">
        <f t="shared" si="141"/>
        <v>0</v>
      </c>
      <c r="BD115" s="24">
        <f t="shared" si="141"/>
        <v>0</v>
      </c>
      <c r="BE115" s="54">
        <f t="shared" si="141"/>
        <v>0</v>
      </c>
      <c r="BF115" s="54">
        <f t="shared" si="141"/>
        <v>0</v>
      </c>
      <c r="BG115" s="54">
        <f t="shared" si="141"/>
        <v>3138802</v>
      </c>
      <c r="BH115" s="54">
        <f t="shared" si="141"/>
        <v>143425</v>
      </c>
      <c r="BI115" s="54">
        <f t="shared" si="141"/>
        <v>0</v>
      </c>
      <c r="BJ115" s="54">
        <f t="shared" si="141"/>
        <v>0</v>
      </c>
      <c r="BK115" s="54">
        <f t="shared" si="141"/>
        <v>0</v>
      </c>
      <c r="BL115" s="54">
        <f t="shared" si="141"/>
        <v>0</v>
      </c>
      <c r="BM115" s="54">
        <f t="shared" si="141"/>
        <v>0</v>
      </c>
      <c r="BN115" s="54"/>
      <c r="BO115" s="54"/>
      <c r="BP115" s="24">
        <f t="shared" si="142"/>
        <v>0</v>
      </c>
      <c r="BQ115" s="54">
        <f t="shared" si="143"/>
        <v>38215505</v>
      </c>
      <c r="BR115" s="57">
        <f t="shared" si="118"/>
        <v>0.89210500004276794</v>
      </c>
      <c r="BS115" s="24">
        <f t="shared" si="144"/>
        <v>1059439813</v>
      </c>
      <c r="BT115" s="54"/>
      <c r="BU115" s="54"/>
      <c r="BV115" s="54">
        <f>+'[1]SEPTIEMBRE 2016'!$H$36+'[1]SEPTIEMBRE 2016'!$H$40+'[1]SEPTIEMBRE 2016'!$H$42+'[1]SEPTIEMBRE 2016'!$H$45+'[1]SEPTIEMBRE 2016'!$H$47+'[1]SEPTIEMBRE 2016'!$H$50+'[1]SEPTIEMBRE 2016'!$H$52+'[1]SEPTIEMBRE 2016'!$H$54+'[1]SEPTIEMBRE 2016'!$H$56+'[1]SEPTIEMBRE 2016'!$H$60+'[1]SEPTIEMBRE 2016'!$H$67+'[1]SEPTIEMBRE 2016'!$H$71+'[1]SEPTIEMBRE 2016'!$M$75+'[1]SEPTIEMBRE 2016'!$H$77+'[1]SEPTIEMBRE 2016'!$H$83+'[1]SEPTIEMBRE 2016'!$H$86</f>
        <v>958702317</v>
      </c>
      <c r="BW115" s="54">
        <f>+'[1]SEPTIEMBRE 2016'!$H$62+'[1]SEPTIEMBRE 2016'!$N$75</f>
        <v>37587370</v>
      </c>
      <c r="BX115" s="54"/>
      <c r="BY115" s="54"/>
      <c r="BZ115" s="54"/>
      <c r="CA115" s="54"/>
      <c r="CB115" s="54"/>
      <c r="CC115" s="54">
        <f>+'[1]SEPTIEMBRE 2016'!$H$85</f>
        <v>300000</v>
      </c>
      <c r="CD115" s="54">
        <f>+'[8]ABRIL 2016'!$H$34</f>
        <v>49856575</v>
      </c>
      <c r="CE115" s="54"/>
      <c r="CF115" s="54"/>
      <c r="CG115" s="54"/>
      <c r="CH115" s="54"/>
      <c r="CI115" s="54"/>
      <c r="CJ115" s="54"/>
      <c r="CK115" s="54"/>
      <c r="CL115" s="54"/>
      <c r="CM115" s="54">
        <f>+'[1]SEPTIEMBRE 2016'!$H$58+'[1]SEPTIEMBRE 2016'!$H$64+'[1]SEPTIEMBRE 2016'!$H$65+'[1]SEPTIEMBRE 2016'!$H$69+'[1]SEPTIEMBRE 2016'!$H$73+'[1]SEPTIEMBRE 2016'!$H$80+'[1]SEPTIEMBRE 2016'!$H$81</f>
        <v>12993551</v>
      </c>
      <c r="CN115" s="57">
        <f t="shared" si="120"/>
        <v>0.10789499995723206</v>
      </c>
      <c r="CO115" s="24">
        <f t="shared" si="145"/>
        <v>128133189</v>
      </c>
      <c r="CP115" s="24">
        <f t="shared" si="146"/>
        <v>0</v>
      </c>
      <c r="CQ115" s="54">
        <f t="shared" si="146"/>
        <v>74276416</v>
      </c>
      <c r="CR115" s="54">
        <f t="shared" si="146"/>
        <v>1474931</v>
      </c>
      <c r="CS115" s="54">
        <f t="shared" si="146"/>
        <v>0</v>
      </c>
      <c r="CT115" s="54">
        <f t="shared" si="146"/>
        <v>0</v>
      </c>
      <c r="CU115" s="24">
        <f t="shared" si="146"/>
        <v>0</v>
      </c>
      <c r="CV115" s="54">
        <f t="shared" si="147"/>
        <v>0</v>
      </c>
      <c r="CW115" s="54">
        <f t="shared" si="147"/>
        <v>0</v>
      </c>
      <c r="CX115" s="24">
        <f t="shared" si="147"/>
        <v>3138802</v>
      </c>
      <c r="CY115" s="54">
        <f t="shared" si="148"/>
        <v>143425</v>
      </c>
      <c r="CZ115" s="54">
        <f t="shared" si="148"/>
        <v>0</v>
      </c>
      <c r="DA115" s="54">
        <f t="shared" si="148"/>
        <v>0</v>
      </c>
      <c r="DB115" s="54">
        <f t="shared" si="149"/>
        <v>0</v>
      </c>
      <c r="DC115" s="54">
        <f t="shared" si="149"/>
        <v>0</v>
      </c>
      <c r="DD115" s="54">
        <f t="shared" si="149"/>
        <v>0</v>
      </c>
      <c r="DE115" s="54"/>
      <c r="DF115" s="54">
        <f t="shared" si="150"/>
        <v>0</v>
      </c>
      <c r="DG115" s="24">
        <f t="shared" si="150"/>
        <v>0</v>
      </c>
      <c r="DH115" s="54">
        <f t="shared" si="150"/>
        <v>49099615</v>
      </c>
    </row>
    <row r="116" spans="1:113" ht="41.25" customHeight="1" x14ac:dyDescent="0.25">
      <c r="A116" s="238"/>
      <c r="B116" s="233"/>
      <c r="C116" s="69" t="s">
        <v>322</v>
      </c>
      <c r="D116" s="21" t="s">
        <v>323</v>
      </c>
      <c r="E116" s="94">
        <v>111</v>
      </c>
      <c r="F116" s="23" t="s">
        <v>324</v>
      </c>
      <c r="G116" s="24">
        <f t="shared" si="137"/>
        <v>152147109</v>
      </c>
      <c r="H116" s="24"/>
      <c r="I116" s="24"/>
      <c r="J116" s="24">
        <f>59490931+52147109</f>
        <v>111638040</v>
      </c>
      <c r="K116" s="24"/>
      <c r="L116" s="24"/>
      <c r="M116" s="24"/>
      <c r="N116" s="24"/>
      <c r="O116" s="24"/>
      <c r="P116" s="24"/>
      <c r="Q116" s="54">
        <f>140509069-100000000</f>
        <v>40509069</v>
      </c>
      <c r="R116" s="24"/>
      <c r="S116" s="24"/>
      <c r="T116" s="24"/>
      <c r="U116" s="24"/>
      <c r="V116" s="24"/>
      <c r="W116" s="24"/>
      <c r="X116" s="24"/>
      <c r="Y116" s="24"/>
      <c r="Z116" s="24"/>
      <c r="AA116" s="25">
        <f t="shared" si="110"/>
        <v>0.92162145519307892</v>
      </c>
      <c r="AB116" s="24">
        <f t="shared" si="138"/>
        <v>140222040</v>
      </c>
      <c r="AC116" s="24"/>
      <c r="AD116" s="24"/>
      <c r="AE116" s="24"/>
      <c r="AF116" s="24">
        <f>+'[1]SEPTIEMBRE 2016'!$N$92</f>
        <v>110222040</v>
      </c>
      <c r="AG116" s="24"/>
      <c r="AH116" s="24"/>
      <c r="AI116" s="24"/>
      <c r="AJ116" s="24"/>
      <c r="AK116" s="24"/>
      <c r="AL116" s="24"/>
      <c r="AM116" s="24">
        <f>+'[8]ABRIL 2016'!$U$50</f>
        <v>30000000</v>
      </c>
      <c r="AN116" s="24"/>
      <c r="AO116" s="24"/>
      <c r="AP116" s="24"/>
      <c r="AQ116" s="24"/>
      <c r="AR116" s="24"/>
      <c r="AS116" s="24"/>
      <c r="AT116" s="24"/>
      <c r="AU116" s="24"/>
      <c r="AV116" s="24"/>
      <c r="AW116" s="25">
        <f t="shared" si="112"/>
        <v>7.837854480692108E-2</v>
      </c>
      <c r="AX116" s="24">
        <f t="shared" si="139"/>
        <v>11925069</v>
      </c>
      <c r="AY116" s="24">
        <f t="shared" si="140"/>
        <v>0</v>
      </c>
      <c r="AZ116" s="24">
        <f t="shared" si="140"/>
        <v>0</v>
      </c>
      <c r="BA116" s="24">
        <f t="shared" si="140"/>
        <v>1416000</v>
      </c>
      <c r="BB116" s="24">
        <f t="shared" si="141"/>
        <v>0</v>
      </c>
      <c r="BC116" s="24">
        <f t="shared" si="141"/>
        <v>0</v>
      </c>
      <c r="BD116" s="24">
        <f t="shared" si="141"/>
        <v>0</v>
      </c>
      <c r="BE116" s="24">
        <f t="shared" si="141"/>
        <v>0</v>
      </c>
      <c r="BF116" s="24">
        <f t="shared" si="141"/>
        <v>0</v>
      </c>
      <c r="BG116" s="24">
        <f t="shared" si="141"/>
        <v>0</v>
      </c>
      <c r="BH116" s="24">
        <f t="shared" si="141"/>
        <v>10509069</v>
      </c>
      <c r="BI116" s="24">
        <f t="shared" si="141"/>
        <v>0</v>
      </c>
      <c r="BJ116" s="24">
        <f t="shared" si="141"/>
        <v>0</v>
      </c>
      <c r="BK116" s="24">
        <f t="shared" si="141"/>
        <v>0</v>
      </c>
      <c r="BL116" s="24">
        <f t="shared" si="141"/>
        <v>0</v>
      </c>
      <c r="BM116" s="24">
        <f t="shared" si="141"/>
        <v>0</v>
      </c>
      <c r="BN116" s="24"/>
      <c r="BO116" s="24"/>
      <c r="BP116" s="24">
        <f t="shared" si="142"/>
        <v>0</v>
      </c>
      <c r="BQ116" s="24">
        <f t="shared" si="143"/>
        <v>0</v>
      </c>
      <c r="BR116" s="25">
        <f t="shared" si="118"/>
        <v>0.92162140261238878</v>
      </c>
      <c r="BS116" s="24">
        <f t="shared" si="144"/>
        <v>140222032</v>
      </c>
      <c r="BT116" s="24"/>
      <c r="BU116" s="24"/>
      <c r="BV116" s="24"/>
      <c r="BW116" s="24">
        <f>+'[1]SEPTIEMBRE 2016'!$H$93+'[1]SEPTIEMBRE 2016'!$H$97+'[1]SEPTIEMBRE 2016'!$H$99</f>
        <v>110222032</v>
      </c>
      <c r="BX116" s="24"/>
      <c r="BY116" s="24"/>
      <c r="BZ116" s="24"/>
      <c r="CA116" s="24"/>
      <c r="CB116" s="24"/>
      <c r="CC116" s="24"/>
      <c r="CD116" s="24">
        <f>+'[7]MAYO 2016'!$H$62</f>
        <v>30000000</v>
      </c>
      <c r="CE116" s="24"/>
      <c r="CF116" s="24"/>
      <c r="CG116" s="24"/>
      <c r="CH116" s="24"/>
      <c r="CI116" s="24"/>
      <c r="CJ116" s="24"/>
      <c r="CK116" s="24"/>
      <c r="CL116" s="24"/>
      <c r="CM116" s="24"/>
      <c r="CN116" s="25">
        <f t="shared" si="120"/>
        <v>7.8378597387611215E-2</v>
      </c>
      <c r="CO116" s="24">
        <f t="shared" si="145"/>
        <v>11925077</v>
      </c>
      <c r="CP116" s="24">
        <f t="shared" si="146"/>
        <v>0</v>
      </c>
      <c r="CQ116" s="24">
        <f t="shared" si="146"/>
        <v>0</v>
      </c>
      <c r="CR116" s="24">
        <f t="shared" si="146"/>
        <v>1416008</v>
      </c>
      <c r="CS116" s="24">
        <f t="shared" si="146"/>
        <v>0</v>
      </c>
      <c r="CT116" s="24">
        <f t="shared" si="146"/>
        <v>0</v>
      </c>
      <c r="CU116" s="24">
        <f t="shared" si="146"/>
        <v>0</v>
      </c>
      <c r="CV116" s="24">
        <f t="shared" si="147"/>
        <v>0</v>
      </c>
      <c r="CW116" s="24">
        <f t="shared" si="147"/>
        <v>0</v>
      </c>
      <c r="CX116" s="24">
        <f t="shared" si="147"/>
        <v>0</v>
      </c>
      <c r="CY116" s="24">
        <f t="shared" si="148"/>
        <v>10509069</v>
      </c>
      <c r="CZ116" s="24">
        <f t="shared" si="148"/>
        <v>0</v>
      </c>
      <c r="DA116" s="24">
        <f t="shared" si="148"/>
        <v>0</v>
      </c>
      <c r="DB116" s="24">
        <f t="shared" si="149"/>
        <v>0</v>
      </c>
      <c r="DC116" s="24">
        <f t="shared" si="149"/>
        <v>0</v>
      </c>
      <c r="DD116" s="24">
        <f t="shared" si="149"/>
        <v>0</v>
      </c>
      <c r="DE116" s="24"/>
      <c r="DF116" s="24">
        <f t="shared" si="150"/>
        <v>0</v>
      </c>
      <c r="DG116" s="24">
        <f t="shared" si="150"/>
        <v>0</v>
      </c>
      <c r="DH116" s="24">
        <f t="shared" si="150"/>
        <v>0</v>
      </c>
      <c r="DI116" s="43"/>
    </row>
    <row r="117" spans="1:113" ht="47.25" customHeight="1" x14ac:dyDescent="0.25">
      <c r="A117" s="238"/>
      <c r="B117" s="231" t="s">
        <v>325</v>
      </c>
      <c r="C117" s="69" t="s">
        <v>326</v>
      </c>
      <c r="D117" s="21" t="s">
        <v>327</v>
      </c>
      <c r="E117" s="94">
        <v>211</v>
      </c>
      <c r="F117" s="23" t="s">
        <v>328</v>
      </c>
      <c r="G117" s="24">
        <f t="shared" si="137"/>
        <v>2140419657</v>
      </c>
      <c r="H117" s="24"/>
      <c r="I117" s="24">
        <f>2300000000-500000000+260540160</f>
        <v>2060540160</v>
      </c>
      <c r="J117" s="24"/>
      <c r="K117" s="24"/>
      <c r="L117" s="24"/>
      <c r="M117" s="24"/>
      <c r="N117" s="24"/>
      <c r="O117" s="24"/>
      <c r="P117" s="24"/>
      <c r="Q117" s="24">
        <f>70000000</f>
        <v>70000000</v>
      </c>
      <c r="R117" s="24"/>
      <c r="S117" s="24"/>
      <c r="T117" s="24"/>
      <c r="U117" s="24"/>
      <c r="V117" s="24"/>
      <c r="W117" s="24"/>
      <c r="X117" s="24"/>
      <c r="Y117" s="24"/>
      <c r="Z117" s="24">
        <f>9879497</f>
        <v>9879497</v>
      </c>
      <c r="AA117" s="25">
        <f t="shared" si="110"/>
        <v>0.60972711904037613</v>
      </c>
      <c r="AB117" s="24">
        <f t="shared" si="138"/>
        <v>1305071911</v>
      </c>
      <c r="AC117" s="24"/>
      <c r="AD117" s="24"/>
      <c r="AE117" s="24">
        <f>+'[1]SEPTIEMBRE 2016'!$M$110</f>
        <v>1225205791</v>
      </c>
      <c r="AF117" s="24"/>
      <c r="AG117" s="24"/>
      <c r="AH117" s="24"/>
      <c r="AI117" s="24"/>
      <c r="AJ117" s="24"/>
      <c r="AK117" s="24"/>
      <c r="AL117" s="24"/>
      <c r="AM117" s="24">
        <f>+'[7]MAYO 2016'!$U$75</f>
        <v>70000000</v>
      </c>
      <c r="AN117" s="24"/>
      <c r="AO117" s="24"/>
      <c r="AP117" s="24"/>
      <c r="AQ117" s="24"/>
      <c r="AR117" s="24"/>
      <c r="AS117" s="24"/>
      <c r="AT117" s="24"/>
      <c r="AU117" s="24"/>
      <c r="AV117" s="24">
        <f>+'[7]MAYO 2016'!$AG$75</f>
        <v>9866120</v>
      </c>
      <c r="AW117" s="25">
        <f t="shared" si="112"/>
        <v>0.39027288095962387</v>
      </c>
      <c r="AX117" s="24">
        <f t="shared" si="139"/>
        <v>835347746</v>
      </c>
      <c r="AY117" s="24">
        <f t="shared" si="140"/>
        <v>0</v>
      </c>
      <c r="AZ117" s="24">
        <f t="shared" si="140"/>
        <v>835334369</v>
      </c>
      <c r="BA117" s="24">
        <f t="shared" si="140"/>
        <v>0</v>
      </c>
      <c r="BB117" s="24">
        <f t="shared" si="141"/>
        <v>0</v>
      </c>
      <c r="BC117" s="24">
        <f t="shared" si="141"/>
        <v>0</v>
      </c>
      <c r="BD117" s="24">
        <f t="shared" si="141"/>
        <v>0</v>
      </c>
      <c r="BE117" s="24">
        <f t="shared" si="141"/>
        <v>0</v>
      </c>
      <c r="BF117" s="24">
        <f t="shared" si="141"/>
        <v>0</v>
      </c>
      <c r="BG117" s="24">
        <f t="shared" si="141"/>
        <v>0</v>
      </c>
      <c r="BH117" s="24">
        <f t="shared" si="141"/>
        <v>0</v>
      </c>
      <c r="BI117" s="24">
        <f t="shared" si="141"/>
        <v>0</v>
      </c>
      <c r="BJ117" s="24">
        <f t="shared" si="141"/>
        <v>0</v>
      </c>
      <c r="BK117" s="24">
        <f t="shared" si="141"/>
        <v>0</v>
      </c>
      <c r="BL117" s="24">
        <f t="shared" si="141"/>
        <v>0</v>
      </c>
      <c r="BM117" s="24">
        <f t="shared" si="141"/>
        <v>0</v>
      </c>
      <c r="BN117" s="24"/>
      <c r="BO117" s="24"/>
      <c r="BP117" s="24">
        <f t="shared" si="142"/>
        <v>0</v>
      </c>
      <c r="BQ117" s="24">
        <f t="shared" si="143"/>
        <v>13377</v>
      </c>
      <c r="BR117" s="25">
        <f t="shared" si="118"/>
        <v>0.45452335238014496</v>
      </c>
      <c r="BS117" s="24">
        <f t="shared" si="144"/>
        <v>972870718</v>
      </c>
      <c r="BT117" s="24"/>
      <c r="BU117" s="24"/>
      <c r="BV117" s="24">
        <f>+'[1]SEPTIEMBRE 2016'!$H$111+'[1]SEPTIEMBRE 2016'!$H$115+'[1]SEPTIEMBRE 2016'!$H$120+'[1]SEPTIEMBRE 2016'!$H$122+'[1]SEPTIEMBRE 2016'!$H$124+'[1]SEPTIEMBRE 2016'!$H$126+'[1]SEPTIEMBRE 2016'!$H$127+'[1]SEPTIEMBRE 2016'!$H$133+'[1]SEPTIEMBRE 2016'!$H$137+'[1]SEPTIEMBRE 2016'!$H$139+'[1]SEPTIEMBRE 2016'!$H$141+'[1]SEPTIEMBRE 2016'!$H$143+'[1]SEPTIEMBRE 2016'!$H$145+'[1]SEPTIEMBRE 2016'!$H$147+'[1]SEPTIEMBRE 2016'!$H$149+'[1]SEPTIEMBRE 2016'!$H$153+'[1]SEPTIEMBRE 2016'!$H$155+'[1]SEPTIEMBRE 2016'!$H$157+'[1]SEPTIEMBRE 2016'!$H$159+'[1]SEPTIEMBRE 2016'!$H$161</f>
        <v>927748448</v>
      </c>
      <c r="BW117" s="24"/>
      <c r="BX117" s="24"/>
      <c r="BY117" s="24"/>
      <c r="BZ117" s="24"/>
      <c r="CA117" s="24"/>
      <c r="CB117" s="24"/>
      <c r="CC117" s="24"/>
      <c r="CD117" s="24">
        <f>+'[1]SEPTIEMBRE 2016'!$H$113</f>
        <v>35256150</v>
      </c>
      <c r="CE117" s="24"/>
      <c r="CF117" s="24"/>
      <c r="CG117" s="24"/>
      <c r="CH117" s="24"/>
      <c r="CI117" s="24"/>
      <c r="CJ117" s="24"/>
      <c r="CK117" s="24"/>
      <c r="CL117" s="24"/>
      <c r="CM117" s="24">
        <f>+'[7]MAYO 2016'!$H$91</f>
        <v>9866120</v>
      </c>
      <c r="CN117" s="25">
        <f t="shared" si="120"/>
        <v>0.54547664761985504</v>
      </c>
      <c r="CO117" s="24">
        <f t="shared" si="145"/>
        <v>1167548939</v>
      </c>
      <c r="CP117" s="24">
        <f t="shared" si="146"/>
        <v>0</v>
      </c>
      <c r="CQ117" s="24">
        <f t="shared" si="146"/>
        <v>1132791712</v>
      </c>
      <c r="CR117" s="24">
        <f t="shared" si="146"/>
        <v>0</v>
      </c>
      <c r="CS117" s="24">
        <f t="shared" si="146"/>
        <v>0</v>
      </c>
      <c r="CT117" s="24">
        <f t="shared" si="146"/>
        <v>0</v>
      </c>
      <c r="CU117" s="24">
        <f t="shared" si="146"/>
        <v>0</v>
      </c>
      <c r="CV117" s="24">
        <f t="shared" si="147"/>
        <v>0</v>
      </c>
      <c r="CW117" s="24">
        <f t="shared" si="147"/>
        <v>0</v>
      </c>
      <c r="CX117" s="24">
        <f t="shared" si="147"/>
        <v>0</v>
      </c>
      <c r="CY117" s="24">
        <f t="shared" si="148"/>
        <v>34743850</v>
      </c>
      <c r="CZ117" s="24">
        <f t="shared" si="148"/>
        <v>0</v>
      </c>
      <c r="DA117" s="24">
        <f t="shared" si="148"/>
        <v>0</v>
      </c>
      <c r="DB117" s="24">
        <f t="shared" si="149"/>
        <v>0</v>
      </c>
      <c r="DC117" s="24">
        <f t="shared" si="149"/>
        <v>0</v>
      </c>
      <c r="DD117" s="24">
        <f t="shared" si="149"/>
        <v>0</v>
      </c>
      <c r="DE117" s="24"/>
      <c r="DF117" s="24">
        <f t="shared" si="150"/>
        <v>0</v>
      </c>
      <c r="DG117" s="24">
        <f t="shared" si="150"/>
        <v>0</v>
      </c>
      <c r="DH117" s="24">
        <f t="shared" si="150"/>
        <v>13377</v>
      </c>
    </row>
    <row r="118" spans="1:113" ht="50.25" customHeight="1" x14ac:dyDescent="0.25">
      <c r="A118" s="238"/>
      <c r="B118" s="232"/>
      <c r="C118" s="69" t="s">
        <v>329</v>
      </c>
      <c r="D118" s="95" t="s">
        <v>330</v>
      </c>
      <c r="E118" s="94">
        <v>211</v>
      </c>
      <c r="F118" s="23" t="s">
        <v>324</v>
      </c>
      <c r="G118" s="24">
        <f t="shared" si="137"/>
        <v>343861405</v>
      </c>
      <c r="H118" s="24"/>
      <c r="I118" s="24">
        <f>170000000+50000000-35570983</f>
        <v>184429017</v>
      </c>
      <c r="J118" s="24"/>
      <c r="K118" s="24"/>
      <c r="L118" s="24"/>
      <c r="M118" s="24"/>
      <c r="N118" s="24"/>
      <c r="O118" s="24"/>
      <c r="P118" s="24"/>
      <c r="Q118" s="24">
        <v>10432388</v>
      </c>
      <c r="R118" s="24"/>
      <c r="S118" s="24">
        <v>130000000</v>
      </c>
      <c r="T118" s="24"/>
      <c r="U118" s="24"/>
      <c r="V118" s="24"/>
      <c r="W118" s="24"/>
      <c r="X118" s="24"/>
      <c r="Y118" s="24"/>
      <c r="Z118" s="24">
        <v>19000000</v>
      </c>
      <c r="AA118" s="25">
        <f t="shared" si="110"/>
        <v>0.57058074604214448</v>
      </c>
      <c r="AB118" s="24">
        <f t="shared" si="138"/>
        <v>196200697</v>
      </c>
      <c r="AC118" s="24"/>
      <c r="AD118" s="24"/>
      <c r="AE118" s="24">
        <f>+'[1]SEPTIEMBRE 2016'!$M$166</f>
        <v>183524217</v>
      </c>
      <c r="AF118" s="24"/>
      <c r="AG118" s="24"/>
      <c r="AH118" s="24"/>
      <c r="AI118" s="24"/>
      <c r="AJ118" s="24"/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>
        <f>+'[1]SEPTIEMBRE 2016'!$AG$166</f>
        <v>12676480</v>
      </c>
      <c r="AW118" s="25">
        <f t="shared" si="112"/>
        <v>0.42941925395785552</v>
      </c>
      <c r="AX118" s="24">
        <f t="shared" si="139"/>
        <v>147660708</v>
      </c>
      <c r="AY118" s="24">
        <f t="shared" si="140"/>
        <v>0</v>
      </c>
      <c r="AZ118" s="24">
        <f t="shared" si="140"/>
        <v>904800</v>
      </c>
      <c r="BA118" s="24">
        <f t="shared" si="140"/>
        <v>0</v>
      </c>
      <c r="BB118" s="24">
        <f t="shared" si="141"/>
        <v>0</v>
      </c>
      <c r="BC118" s="24">
        <f t="shared" si="141"/>
        <v>0</v>
      </c>
      <c r="BD118" s="24">
        <f t="shared" si="141"/>
        <v>0</v>
      </c>
      <c r="BE118" s="24">
        <f t="shared" si="141"/>
        <v>0</v>
      </c>
      <c r="BF118" s="24">
        <f t="shared" si="141"/>
        <v>0</v>
      </c>
      <c r="BG118" s="24">
        <f t="shared" si="141"/>
        <v>0</v>
      </c>
      <c r="BH118" s="24">
        <f t="shared" si="141"/>
        <v>10432388</v>
      </c>
      <c r="BI118" s="24">
        <f t="shared" si="141"/>
        <v>0</v>
      </c>
      <c r="BJ118" s="24">
        <f t="shared" si="141"/>
        <v>130000000</v>
      </c>
      <c r="BK118" s="24">
        <f t="shared" si="141"/>
        <v>0</v>
      </c>
      <c r="BL118" s="24">
        <f t="shared" si="141"/>
        <v>0</v>
      </c>
      <c r="BM118" s="24">
        <f t="shared" si="141"/>
        <v>0</v>
      </c>
      <c r="BN118" s="24"/>
      <c r="BO118" s="24"/>
      <c r="BP118" s="24">
        <f t="shared" si="142"/>
        <v>0</v>
      </c>
      <c r="BQ118" s="24">
        <f t="shared" si="143"/>
        <v>6323520</v>
      </c>
      <c r="BR118" s="25">
        <f t="shared" si="118"/>
        <v>0.53357967579990551</v>
      </c>
      <c r="BS118" s="24">
        <f t="shared" si="144"/>
        <v>183477457</v>
      </c>
      <c r="BT118" s="24"/>
      <c r="BU118" s="24"/>
      <c r="BV118" s="24">
        <f>+'[1]SEPTIEMBRE 2016'!$H$167+'[1]SEPTIEMBRE 2016'!$H$176+'[1]SEPTIEMBRE 2016'!$H$178+'[1]SEPTIEMBRE 2016'!$H$179+'[1]SEPTIEMBRE 2016'!$H$181+'[1]SEPTIEMBRE 2016'!$H$184+'[1]SEPTIEMBRE 2016'!$H$187+'[1]SEPTIEMBRE 2016'!$H$189+'[1]SEPTIEMBRE 2016'!$H$191</f>
        <v>183477457</v>
      </c>
      <c r="BW118" s="24"/>
      <c r="BX118" s="24"/>
      <c r="BY118" s="24"/>
      <c r="BZ118" s="24"/>
      <c r="CA118" s="24"/>
      <c r="CB118" s="24"/>
      <c r="CC118" s="24"/>
      <c r="CD118" s="24"/>
      <c r="CE118" s="24"/>
      <c r="CF118" s="24"/>
      <c r="CG118" s="24"/>
      <c r="CH118" s="24"/>
      <c r="CI118" s="24"/>
      <c r="CJ118" s="24"/>
      <c r="CK118" s="24"/>
      <c r="CL118" s="24"/>
      <c r="CM118" s="24"/>
      <c r="CN118" s="25">
        <f t="shared" si="120"/>
        <v>0.46642032420009449</v>
      </c>
      <c r="CO118" s="24">
        <f t="shared" si="145"/>
        <v>160383948</v>
      </c>
      <c r="CP118" s="24">
        <f t="shared" si="146"/>
        <v>0</v>
      </c>
      <c r="CQ118" s="24">
        <f t="shared" si="146"/>
        <v>951560</v>
      </c>
      <c r="CR118" s="24">
        <f t="shared" si="146"/>
        <v>0</v>
      </c>
      <c r="CS118" s="24">
        <f t="shared" si="146"/>
        <v>0</v>
      </c>
      <c r="CT118" s="24">
        <f t="shared" si="146"/>
        <v>0</v>
      </c>
      <c r="CU118" s="24">
        <f t="shared" si="146"/>
        <v>0</v>
      </c>
      <c r="CV118" s="24">
        <f t="shared" si="147"/>
        <v>0</v>
      </c>
      <c r="CW118" s="24">
        <f t="shared" si="147"/>
        <v>0</v>
      </c>
      <c r="CX118" s="24">
        <f t="shared" si="147"/>
        <v>0</v>
      </c>
      <c r="CY118" s="24">
        <f t="shared" si="148"/>
        <v>10432388</v>
      </c>
      <c r="CZ118" s="24">
        <f t="shared" si="148"/>
        <v>0</v>
      </c>
      <c r="DA118" s="24">
        <f t="shared" si="148"/>
        <v>130000000</v>
      </c>
      <c r="DB118" s="24">
        <f t="shared" si="149"/>
        <v>0</v>
      </c>
      <c r="DC118" s="24">
        <f t="shared" si="149"/>
        <v>0</v>
      </c>
      <c r="DD118" s="24">
        <f t="shared" si="149"/>
        <v>0</v>
      </c>
      <c r="DE118" s="24"/>
      <c r="DF118" s="24">
        <f t="shared" si="150"/>
        <v>0</v>
      </c>
      <c r="DG118" s="24">
        <f t="shared" si="150"/>
        <v>0</v>
      </c>
      <c r="DH118" s="24">
        <f t="shared" si="150"/>
        <v>19000000</v>
      </c>
    </row>
    <row r="119" spans="1:113" s="58" customFormat="1" ht="33" customHeight="1" x14ac:dyDescent="0.25">
      <c r="A119" s="238"/>
      <c r="B119" s="232"/>
      <c r="C119" s="55" t="s">
        <v>331</v>
      </c>
      <c r="D119" s="21" t="s">
        <v>332</v>
      </c>
      <c r="E119" s="89">
        <v>211</v>
      </c>
      <c r="F119" s="23" t="s">
        <v>333</v>
      </c>
      <c r="G119" s="24">
        <f t="shared" si="137"/>
        <v>316552303</v>
      </c>
      <c r="H119" s="28"/>
      <c r="I119" s="54">
        <f>453535209-155982906</f>
        <v>297552303</v>
      </c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>
        <f>6000000+13000000</f>
        <v>19000000</v>
      </c>
      <c r="AA119" s="57">
        <f t="shared" si="110"/>
        <v>0.98104578629459538</v>
      </c>
      <c r="AB119" s="24">
        <f t="shared" si="138"/>
        <v>310552303</v>
      </c>
      <c r="AC119" s="54"/>
      <c r="AD119" s="54"/>
      <c r="AE119" s="54">
        <f>+'[1]SEPTIEMBRE 2016'!$M$202</f>
        <v>297552303</v>
      </c>
      <c r="AF119" s="54"/>
      <c r="AG119" s="54"/>
      <c r="AH119" s="54"/>
      <c r="AI119" s="54"/>
      <c r="AJ119" s="54"/>
      <c r="AK119" s="54"/>
      <c r="AL119" s="54"/>
      <c r="AM119" s="54"/>
      <c r="AN119" s="54"/>
      <c r="AO119" s="54"/>
      <c r="AP119" s="54"/>
      <c r="AQ119" s="54"/>
      <c r="AR119" s="54"/>
      <c r="AS119" s="54"/>
      <c r="AT119" s="54"/>
      <c r="AU119" s="54"/>
      <c r="AV119" s="54">
        <f>+'[1]SEPTIEMBRE 2016'!$AG$202</f>
        <v>13000000</v>
      </c>
      <c r="AW119" s="57">
        <f t="shared" si="112"/>
        <v>1.8954213705404621E-2</v>
      </c>
      <c r="AX119" s="24">
        <f t="shared" si="139"/>
        <v>6000000</v>
      </c>
      <c r="AY119" s="54">
        <f t="shared" si="140"/>
        <v>0</v>
      </c>
      <c r="AZ119" s="54">
        <f t="shared" si="140"/>
        <v>0</v>
      </c>
      <c r="BA119" s="54">
        <f t="shared" si="140"/>
        <v>0</v>
      </c>
      <c r="BB119" s="54">
        <f t="shared" si="141"/>
        <v>0</v>
      </c>
      <c r="BC119" s="54">
        <f t="shared" si="141"/>
        <v>0</v>
      </c>
      <c r="BD119" s="24">
        <f t="shared" si="141"/>
        <v>0</v>
      </c>
      <c r="BE119" s="54">
        <f t="shared" si="141"/>
        <v>0</v>
      </c>
      <c r="BF119" s="54">
        <f t="shared" si="141"/>
        <v>0</v>
      </c>
      <c r="BG119" s="54">
        <f t="shared" si="141"/>
        <v>0</v>
      </c>
      <c r="BH119" s="54">
        <f t="shared" si="141"/>
        <v>0</v>
      </c>
      <c r="BI119" s="54">
        <f t="shared" si="141"/>
        <v>0</v>
      </c>
      <c r="BJ119" s="54">
        <f t="shared" si="141"/>
        <v>0</v>
      </c>
      <c r="BK119" s="54">
        <f t="shared" si="141"/>
        <v>0</v>
      </c>
      <c r="BL119" s="54">
        <f t="shared" si="141"/>
        <v>0</v>
      </c>
      <c r="BM119" s="54">
        <f t="shared" si="141"/>
        <v>0</v>
      </c>
      <c r="BN119" s="54"/>
      <c r="BO119" s="54"/>
      <c r="BP119" s="24">
        <f t="shared" si="142"/>
        <v>0</v>
      </c>
      <c r="BQ119" s="54">
        <f t="shared" si="143"/>
        <v>6000000</v>
      </c>
      <c r="BR119" s="57">
        <f t="shared" si="118"/>
        <v>0.36935075465238359</v>
      </c>
      <c r="BS119" s="24">
        <f t="shared" si="144"/>
        <v>116918832</v>
      </c>
      <c r="BT119" s="54"/>
      <c r="BU119" s="54"/>
      <c r="BV119" s="54">
        <f>+'[1]SEPTIEMBRE 2016'!$H$203+'[1]SEPTIEMBRE 2016'!$H$206</f>
        <v>103918832</v>
      </c>
      <c r="BW119" s="54"/>
      <c r="BX119" s="54"/>
      <c r="BY119" s="54"/>
      <c r="BZ119" s="54"/>
      <c r="CA119" s="54"/>
      <c r="CB119" s="54"/>
      <c r="CC119" s="54"/>
      <c r="CD119" s="54"/>
      <c r="CE119" s="54"/>
      <c r="CF119" s="54"/>
      <c r="CG119" s="54"/>
      <c r="CH119" s="54"/>
      <c r="CI119" s="54"/>
      <c r="CJ119" s="54"/>
      <c r="CK119" s="54"/>
      <c r="CL119" s="54"/>
      <c r="CM119" s="54">
        <f>+'[1]SEPTIEMBRE 2016'!$H$209</f>
        <v>13000000</v>
      </c>
      <c r="CN119" s="57">
        <f t="shared" si="120"/>
        <v>0.63064924534761646</v>
      </c>
      <c r="CO119" s="24">
        <f t="shared" si="145"/>
        <v>199633471</v>
      </c>
      <c r="CP119" s="24">
        <f t="shared" si="146"/>
        <v>0</v>
      </c>
      <c r="CQ119" s="54">
        <f t="shared" si="146"/>
        <v>193633471</v>
      </c>
      <c r="CR119" s="54">
        <f t="shared" si="146"/>
        <v>0</v>
      </c>
      <c r="CS119" s="54">
        <f t="shared" si="146"/>
        <v>0</v>
      </c>
      <c r="CT119" s="54">
        <f t="shared" si="146"/>
        <v>0</v>
      </c>
      <c r="CU119" s="24">
        <f t="shared" si="146"/>
        <v>0</v>
      </c>
      <c r="CV119" s="54">
        <f t="shared" si="147"/>
        <v>0</v>
      </c>
      <c r="CW119" s="54">
        <f t="shared" si="147"/>
        <v>0</v>
      </c>
      <c r="CX119" s="24">
        <f t="shared" si="147"/>
        <v>0</v>
      </c>
      <c r="CY119" s="54">
        <f t="shared" si="148"/>
        <v>0</v>
      </c>
      <c r="CZ119" s="54">
        <f t="shared" si="148"/>
        <v>0</v>
      </c>
      <c r="DA119" s="54">
        <f t="shared" si="148"/>
        <v>0</v>
      </c>
      <c r="DB119" s="54">
        <f t="shared" si="149"/>
        <v>0</v>
      </c>
      <c r="DC119" s="54">
        <f t="shared" si="149"/>
        <v>0</v>
      </c>
      <c r="DD119" s="54">
        <f t="shared" si="149"/>
        <v>0</v>
      </c>
      <c r="DE119" s="54"/>
      <c r="DF119" s="54">
        <f t="shared" si="150"/>
        <v>0</v>
      </c>
      <c r="DG119" s="54">
        <f t="shared" si="150"/>
        <v>0</v>
      </c>
      <c r="DH119" s="54">
        <f t="shared" si="150"/>
        <v>6000000</v>
      </c>
    </row>
    <row r="120" spans="1:113" ht="95.25" customHeight="1" x14ac:dyDescent="0.25">
      <c r="A120" s="238"/>
      <c r="B120" s="232"/>
      <c r="C120" s="69" t="s">
        <v>334</v>
      </c>
      <c r="D120" s="21" t="s">
        <v>335</v>
      </c>
      <c r="E120" s="94">
        <v>211</v>
      </c>
      <c r="F120" s="23" t="s">
        <v>336</v>
      </c>
      <c r="G120" s="24">
        <f t="shared" si="137"/>
        <v>447777768</v>
      </c>
      <c r="H120" s="33"/>
      <c r="I120" s="24">
        <v>300000000</v>
      </c>
      <c r="J120" s="24"/>
      <c r="K120" s="24"/>
      <c r="L120" s="24"/>
      <c r="M120" s="24"/>
      <c r="N120" s="24"/>
      <c r="O120" s="24"/>
      <c r="P120" s="24"/>
      <c r="Q120" s="24">
        <v>15000000</v>
      </c>
      <c r="R120" s="24"/>
      <c r="S120" s="24"/>
      <c r="T120" s="24"/>
      <c r="U120" s="24"/>
      <c r="V120" s="24"/>
      <c r="W120" s="24"/>
      <c r="X120" s="24"/>
      <c r="Y120" s="24"/>
      <c r="Z120" s="24">
        <f>105607498+8000000+9000000-4000000+8000000-30000000+9956624+26213646</f>
        <v>132777768</v>
      </c>
      <c r="AA120" s="25">
        <f t="shared" si="110"/>
        <v>0.90015452263364715</v>
      </c>
      <c r="AB120" s="24">
        <f t="shared" si="138"/>
        <v>403069183</v>
      </c>
      <c r="AC120" s="24"/>
      <c r="AD120" s="24"/>
      <c r="AE120" s="24">
        <f>+'[1]SEPTIEMBRE 2016'!$M$216</f>
        <v>299974318</v>
      </c>
      <c r="AF120" s="24"/>
      <c r="AG120" s="24"/>
      <c r="AH120" s="24"/>
      <c r="AI120" s="24"/>
      <c r="AJ120" s="24"/>
      <c r="AK120" s="24"/>
      <c r="AL120" s="24"/>
      <c r="AM120" s="24">
        <v>15000000</v>
      </c>
      <c r="AN120" s="24"/>
      <c r="AO120" s="24"/>
      <c r="AP120" s="24"/>
      <c r="AQ120" s="24"/>
      <c r="AR120" s="24"/>
      <c r="AS120" s="24"/>
      <c r="AT120" s="24"/>
      <c r="AU120" s="24"/>
      <c r="AV120" s="24">
        <f>+'[1]SEPTIEMBRE 2016'!$AG$216</f>
        <v>88094865</v>
      </c>
      <c r="AW120" s="25">
        <f t="shared" si="112"/>
        <v>9.9845477366352853E-2</v>
      </c>
      <c r="AX120" s="24">
        <f t="shared" si="139"/>
        <v>44708585</v>
      </c>
      <c r="AY120" s="24">
        <f t="shared" si="140"/>
        <v>0</v>
      </c>
      <c r="AZ120" s="24">
        <f t="shared" si="140"/>
        <v>25682</v>
      </c>
      <c r="BA120" s="24">
        <f t="shared" si="140"/>
        <v>0</v>
      </c>
      <c r="BB120" s="24">
        <f t="shared" si="141"/>
        <v>0</v>
      </c>
      <c r="BC120" s="24">
        <f t="shared" si="141"/>
        <v>0</v>
      </c>
      <c r="BD120" s="24">
        <f t="shared" si="141"/>
        <v>0</v>
      </c>
      <c r="BE120" s="24">
        <f t="shared" si="141"/>
        <v>0</v>
      </c>
      <c r="BF120" s="24">
        <f t="shared" si="141"/>
        <v>0</v>
      </c>
      <c r="BG120" s="24">
        <f t="shared" si="141"/>
        <v>0</v>
      </c>
      <c r="BH120" s="24">
        <f t="shared" si="141"/>
        <v>0</v>
      </c>
      <c r="BI120" s="24">
        <f t="shared" si="141"/>
        <v>0</v>
      </c>
      <c r="BJ120" s="24">
        <f t="shared" si="141"/>
        <v>0</v>
      </c>
      <c r="BK120" s="24">
        <f t="shared" si="141"/>
        <v>0</v>
      </c>
      <c r="BL120" s="24">
        <f t="shared" si="141"/>
        <v>0</v>
      </c>
      <c r="BM120" s="24">
        <f t="shared" si="141"/>
        <v>0</v>
      </c>
      <c r="BN120" s="24"/>
      <c r="BO120" s="24"/>
      <c r="BP120" s="24">
        <f t="shared" si="142"/>
        <v>0</v>
      </c>
      <c r="BQ120" s="24">
        <f t="shared" si="143"/>
        <v>44682903</v>
      </c>
      <c r="BR120" s="25">
        <f t="shared" si="118"/>
        <v>0.37360528582562413</v>
      </c>
      <c r="BS120" s="24">
        <f t="shared" si="144"/>
        <v>167292141</v>
      </c>
      <c r="BT120" s="24"/>
      <c r="BU120" s="24"/>
      <c r="BV120" s="24">
        <f>+'[1]SEPTIEMBRE 2016'!$H$219+'[1]SEPTIEMBRE 2016'!$H$221+'[1]SEPTIEMBRE 2016'!$H$227+'[1]SEPTIEMBRE 2016'!$H$229+'[1]SEPTIEMBRE 2016'!$H$243</f>
        <v>67044976</v>
      </c>
      <c r="BW120" s="24"/>
      <c r="BX120" s="24"/>
      <c r="BY120" s="24"/>
      <c r="BZ120" s="24"/>
      <c r="CA120" s="24"/>
      <c r="CB120" s="24"/>
      <c r="CC120" s="24"/>
      <c r="CD120" s="24">
        <f>+'[9]MARZO 2016 ULTIMO'!$H$88</f>
        <v>15000000</v>
      </c>
      <c r="CE120" s="24"/>
      <c r="CF120" s="24"/>
      <c r="CG120" s="24"/>
      <c r="CH120" s="24"/>
      <c r="CI120" s="24"/>
      <c r="CJ120" s="24"/>
      <c r="CK120" s="24"/>
      <c r="CL120" s="24"/>
      <c r="CM120" s="24">
        <f>+'[1]SEPTIEMBRE 2016'!$H$223+'[1]SEPTIEMBRE 2016'!$H$225+'[1]SEPTIEMBRE 2016'!$H$232+'[1]SEPTIEMBRE 2016'!$H$234+'[1]SEPTIEMBRE 2016'!$H$236+'[1]SEPTIEMBRE 2016'!$H$237+'[1]SEPTIEMBRE 2016'!$H$238+'[1]SEPTIEMBRE 2016'!$H$239+'[1]SEPTIEMBRE 2016'!$H$240+'[1]SEPTIEMBRE 2016'!$H$241+'[1]SEPTIEMBRE 2016'!$H$245+'[1]SEPTIEMBRE 2016'!$H$247+'[1]SEPTIEMBRE 2016'!$H$249+'[1]SEPTIEMBRE 2016'!$H$251+'[1]SEPTIEMBRE 2016'!$H$253+'[1]SEPTIEMBRE 2016'!$H$255</f>
        <v>85247165</v>
      </c>
      <c r="CN120" s="25">
        <f t="shared" si="120"/>
        <v>0.62639471417437587</v>
      </c>
      <c r="CO120" s="24">
        <f t="shared" si="145"/>
        <v>280485627</v>
      </c>
      <c r="CP120" s="24">
        <f t="shared" si="146"/>
        <v>0</v>
      </c>
      <c r="CQ120" s="24">
        <f t="shared" si="146"/>
        <v>232955024</v>
      </c>
      <c r="CR120" s="24">
        <f t="shared" si="146"/>
        <v>0</v>
      </c>
      <c r="CS120" s="24">
        <f t="shared" si="146"/>
        <v>0</v>
      </c>
      <c r="CT120" s="24">
        <f t="shared" si="146"/>
        <v>0</v>
      </c>
      <c r="CU120" s="24">
        <f t="shared" si="146"/>
        <v>0</v>
      </c>
      <c r="CV120" s="24">
        <f t="shared" si="147"/>
        <v>0</v>
      </c>
      <c r="CW120" s="24">
        <f t="shared" si="147"/>
        <v>0</v>
      </c>
      <c r="CX120" s="24">
        <f t="shared" si="147"/>
        <v>0</v>
      </c>
      <c r="CY120" s="24">
        <f t="shared" si="148"/>
        <v>0</v>
      </c>
      <c r="CZ120" s="24">
        <f t="shared" si="148"/>
        <v>0</v>
      </c>
      <c r="DA120" s="24">
        <f t="shared" si="148"/>
        <v>0</v>
      </c>
      <c r="DB120" s="24">
        <f t="shared" si="149"/>
        <v>0</v>
      </c>
      <c r="DC120" s="24">
        <f t="shared" si="149"/>
        <v>0</v>
      </c>
      <c r="DD120" s="24">
        <f t="shared" si="149"/>
        <v>0</v>
      </c>
      <c r="DE120" s="24"/>
      <c r="DF120" s="24">
        <f t="shared" si="150"/>
        <v>0</v>
      </c>
      <c r="DG120" s="24">
        <f t="shared" si="150"/>
        <v>0</v>
      </c>
      <c r="DH120" s="24">
        <f t="shared" si="150"/>
        <v>47530603</v>
      </c>
    </row>
    <row r="121" spans="1:113" ht="91.5" customHeight="1" x14ac:dyDescent="0.25">
      <c r="A121" s="238"/>
      <c r="B121" s="232"/>
      <c r="C121" s="69" t="s">
        <v>337</v>
      </c>
      <c r="D121" s="21" t="s">
        <v>338</v>
      </c>
      <c r="E121" s="94">
        <v>211</v>
      </c>
      <c r="F121" s="23" t="s">
        <v>336</v>
      </c>
      <c r="G121" s="24">
        <f t="shared" si="137"/>
        <v>215639414</v>
      </c>
      <c r="H121" s="33"/>
      <c r="I121" s="24">
        <f>50000000+78446028</f>
        <v>128446028</v>
      </c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>
        <f>47318981+5271083+155508+1089440+2317590+1325109+1257366+1440267+10918006+9000000+7100036</f>
        <v>87193386</v>
      </c>
      <c r="AA121" s="25">
        <f t="shared" si="110"/>
        <v>5.5473940399411399E-2</v>
      </c>
      <c r="AB121" s="24">
        <f t="shared" si="138"/>
        <v>11962368</v>
      </c>
      <c r="AC121" s="24"/>
      <c r="AD121" s="24"/>
      <c r="AE121" s="24"/>
      <c r="AF121" s="24"/>
      <c r="AG121" s="24"/>
      <c r="AH121" s="24"/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>
        <f>+'[5]JULIO 2016'!$G$179</f>
        <v>11962368</v>
      </c>
      <c r="AW121" s="25">
        <f t="shared" si="112"/>
        <v>0.94452605960058855</v>
      </c>
      <c r="AX121" s="24">
        <f t="shared" si="139"/>
        <v>203677046</v>
      </c>
      <c r="AY121" s="24">
        <f t="shared" si="140"/>
        <v>0</v>
      </c>
      <c r="AZ121" s="24">
        <f t="shared" si="140"/>
        <v>128446028</v>
      </c>
      <c r="BA121" s="24">
        <f t="shared" si="140"/>
        <v>0</v>
      </c>
      <c r="BB121" s="24">
        <f t="shared" si="141"/>
        <v>0</v>
      </c>
      <c r="BC121" s="24">
        <f t="shared" si="141"/>
        <v>0</v>
      </c>
      <c r="BD121" s="24">
        <f t="shared" si="141"/>
        <v>0</v>
      </c>
      <c r="BE121" s="24">
        <f t="shared" si="141"/>
        <v>0</v>
      </c>
      <c r="BF121" s="24">
        <f t="shared" si="141"/>
        <v>0</v>
      </c>
      <c r="BG121" s="24">
        <f t="shared" si="141"/>
        <v>0</v>
      </c>
      <c r="BH121" s="24">
        <f t="shared" si="141"/>
        <v>0</v>
      </c>
      <c r="BI121" s="24">
        <f t="shared" si="141"/>
        <v>0</v>
      </c>
      <c r="BJ121" s="24">
        <f t="shared" si="141"/>
        <v>0</v>
      </c>
      <c r="BK121" s="24">
        <f t="shared" si="141"/>
        <v>0</v>
      </c>
      <c r="BL121" s="24">
        <f t="shared" si="141"/>
        <v>0</v>
      </c>
      <c r="BM121" s="24">
        <f t="shared" si="141"/>
        <v>0</v>
      </c>
      <c r="BN121" s="24"/>
      <c r="BO121" s="24"/>
      <c r="BP121" s="24">
        <f t="shared" si="142"/>
        <v>0</v>
      </c>
      <c r="BQ121" s="24">
        <f t="shared" si="143"/>
        <v>75231018</v>
      </c>
      <c r="BR121" s="25">
        <f t="shared" si="118"/>
        <v>5.5347952299666332E-2</v>
      </c>
      <c r="BS121" s="24">
        <f t="shared" si="144"/>
        <v>11935200</v>
      </c>
      <c r="BT121" s="24"/>
      <c r="BU121" s="24"/>
      <c r="BV121" s="24"/>
      <c r="BW121" s="24"/>
      <c r="BX121" s="24"/>
      <c r="BY121" s="24"/>
      <c r="BZ121" s="24"/>
      <c r="CA121" s="24"/>
      <c r="CB121" s="24"/>
      <c r="CC121" s="24"/>
      <c r="CD121" s="24"/>
      <c r="CE121" s="24"/>
      <c r="CF121" s="24"/>
      <c r="CG121" s="24"/>
      <c r="CH121" s="24"/>
      <c r="CI121" s="24"/>
      <c r="CJ121" s="24"/>
      <c r="CK121" s="24"/>
      <c r="CL121" s="24"/>
      <c r="CM121" s="24">
        <f>+'[5]JULIO 2016'!$H$179</f>
        <v>11935200</v>
      </c>
      <c r="CN121" s="25">
        <f t="shared" si="120"/>
        <v>0.94465204770033362</v>
      </c>
      <c r="CO121" s="24">
        <f t="shared" si="145"/>
        <v>203704214</v>
      </c>
      <c r="CP121" s="24">
        <f t="shared" si="146"/>
        <v>0</v>
      </c>
      <c r="CQ121" s="24">
        <f t="shared" si="146"/>
        <v>128446028</v>
      </c>
      <c r="CR121" s="24">
        <f t="shared" si="146"/>
        <v>0</v>
      </c>
      <c r="CS121" s="24">
        <f t="shared" si="146"/>
        <v>0</v>
      </c>
      <c r="CT121" s="24">
        <f t="shared" si="146"/>
        <v>0</v>
      </c>
      <c r="CU121" s="24">
        <f t="shared" si="146"/>
        <v>0</v>
      </c>
      <c r="CV121" s="24">
        <f t="shared" si="147"/>
        <v>0</v>
      </c>
      <c r="CW121" s="24">
        <f t="shared" si="147"/>
        <v>0</v>
      </c>
      <c r="CX121" s="24">
        <f t="shared" si="147"/>
        <v>0</v>
      </c>
      <c r="CY121" s="24">
        <f t="shared" si="148"/>
        <v>0</v>
      </c>
      <c r="CZ121" s="24">
        <f t="shared" si="148"/>
        <v>0</v>
      </c>
      <c r="DA121" s="24">
        <f t="shared" si="148"/>
        <v>0</v>
      </c>
      <c r="DB121" s="24">
        <f t="shared" si="149"/>
        <v>0</v>
      </c>
      <c r="DC121" s="24">
        <f t="shared" si="149"/>
        <v>0</v>
      </c>
      <c r="DD121" s="24">
        <f t="shared" si="149"/>
        <v>0</v>
      </c>
      <c r="DE121" s="24"/>
      <c r="DF121" s="24">
        <f t="shared" si="150"/>
        <v>0</v>
      </c>
      <c r="DG121" s="24">
        <f t="shared" si="150"/>
        <v>0</v>
      </c>
      <c r="DH121" s="24">
        <f t="shared" si="150"/>
        <v>75258186</v>
      </c>
    </row>
    <row r="122" spans="1:113" ht="44.25" customHeight="1" x14ac:dyDescent="0.25">
      <c r="A122" s="238"/>
      <c r="B122" s="232"/>
      <c r="C122" s="69" t="s">
        <v>339</v>
      </c>
      <c r="D122" s="21" t="s">
        <v>340</v>
      </c>
      <c r="E122" s="94">
        <v>211</v>
      </c>
      <c r="F122" s="23" t="s">
        <v>341</v>
      </c>
      <c r="G122" s="24">
        <f t="shared" si="137"/>
        <v>11000000</v>
      </c>
      <c r="H122" s="33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>
        <f>3000000+2500000+1000000+2500000+2000000</f>
        <v>11000000</v>
      </c>
      <c r="AA122" s="25">
        <f t="shared" si="110"/>
        <v>0.81807090909090907</v>
      </c>
      <c r="AB122" s="24">
        <f t="shared" si="138"/>
        <v>8998780</v>
      </c>
      <c r="AC122" s="24"/>
      <c r="AD122" s="24"/>
      <c r="AE122" s="24"/>
      <c r="AF122" s="24"/>
      <c r="AG122" s="24"/>
      <c r="AH122" s="24"/>
      <c r="AI122" s="24"/>
      <c r="AJ122" s="24"/>
      <c r="AK122" s="24"/>
      <c r="AL122" s="24"/>
      <c r="AM122" s="24"/>
      <c r="AN122" s="24"/>
      <c r="AO122" s="24"/>
      <c r="AP122" s="24"/>
      <c r="AQ122" s="24"/>
      <c r="AR122" s="24"/>
      <c r="AS122" s="24"/>
      <c r="AT122" s="24"/>
      <c r="AU122" s="24"/>
      <c r="AV122" s="24">
        <f>+'[1]SEPTIEMBRE 2016'!$G$271</f>
        <v>8998780</v>
      </c>
      <c r="AW122" s="25">
        <f t="shared" si="112"/>
        <v>0.18192909090909093</v>
      </c>
      <c r="AX122" s="24">
        <f t="shared" si="139"/>
        <v>2001220</v>
      </c>
      <c r="AY122" s="24">
        <f t="shared" si="140"/>
        <v>0</v>
      </c>
      <c r="AZ122" s="24">
        <f t="shared" si="140"/>
        <v>0</v>
      </c>
      <c r="BA122" s="24">
        <f t="shared" si="140"/>
        <v>0</v>
      </c>
      <c r="BB122" s="24">
        <f t="shared" si="141"/>
        <v>0</v>
      </c>
      <c r="BC122" s="24">
        <f t="shared" si="141"/>
        <v>0</v>
      </c>
      <c r="BD122" s="24">
        <f t="shared" si="141"/>
        <v>0</v>
      </c>
      <c r="BE122" s="24">
        <f t="shared" si="141"/>
        <v>0</v>
      </c>
      <c r="BF122" s="24">
        <f t="shared" si="141"/>
        <v>0</v>
      </c>
      <c r="BG122" s="24">
        <f t="shared" si="141"/>
        <v>0</v>
      </c>
      <c r="BH122" s="24">
        <f t="shared" si="141"/>
        <v>0</v>
      </c>
      <c r="BI122" s="24">
        <f t="shared" si="141"/>
        <v>0</v>
      </c>
      <c r="BJ122" s="24">
        <f t="shared" si="141"/>
        <v>0</v>
      </c>
      <c r="BK122" s="24">
        <f t="shared" si="141"/>
        <v>0</v>
      </c>
      <c r="BL122" s="24">
        <f t="shared" si="141"/>
        <v>0</v>
      </c>
      <c r="BM122" s="24">
        <f t="shared" si="141"/>
        <v>0</v>
      </c>
      <c r="BN122" s="24"/>
      <c r="BO122" s="24"/>
      <c r="BP122" s="24">
        <f t="shared" si="142"/>
        <v>0</v>
      </c>
      <c r="BQ122" s="24">
        <f t="shared" si="143"/>
        <v>2001220</v>
      </c>
      <c r="BR122" s="25">
        <f t="shared" si="118"/>
        <v>0.81634527272727275</v>
      </c>
      <c r="BS122" s="24">
        <f t="shared" si="144"/>
        <v>8979798</v>
      </c>
      <c r="BT122" s="24"/>
      <c r="BU122" s="24"/>
      <c r="BV122" s="24"/>
      <c r="BW122" s="24"/>
      <c r="BX122" s="24"/>
      <c r="BY122" s="24"/>
      <c r="BZ122" s="24"/>
      <c r="CA122" s="24"/>
      <c r="CB122" s="24"/>
      <c r="CC122" s="24"/>
      <c r="CD122" s="24"/>
      <c r="CE122" s="24"/>
      <c r="CF122" s="24"/>
      <c r="CG122" s="24"/>
      <c r="CH122" s="24"/>
      <c r="CI122" s="24"/>
      <c r="CJ122" s="24"/>
      <c r="CK122" s="24"/>
      <c r="CL122" s="24"/>
      <c r="CM122" s="24">
        <f>+'[1]SEPTIEMBRE 2016'!$H$271</f>
        <v>8979798</v>
      </c>
      <c r="CN122" s="25">
        <f t="shared" si="120"/>
        <v>0.18365472727272725</v>
      </c>
      <c r="CO122" s="24">
        <f t="shared" si="145"/>
        <v>2020202</v>
      </c>
      <c r="CP122" s="24">
        <f t="shared" si="146"/>
        <v>0</v>
      </c>
      <c r="CQ122" s="24">
        <f t="shared" si="146"/>
        <v>0</v>
      </c>
      <c r="CR122" s="24">
        <f t="shared" si="146"/>
        <v>0</v>
      </c>
      <c r="CS122" s="24">
        <f t="shared" si="146"/>
        <v>0</v>
      </c>
      <c r="CT122" s="24">
        <f t="shared" si="146"/>
        <v>0</v>
      </c>
      <c r="CU122" s="24">
        <f t="shared" si="146"/>
        <v>0</v>
      </c>
      <c r="CV122" s="24">
        <f t="shared" si="147"/>
        <v>0</v>
      </c>
      <c r="CW122" s="24">
        <f t="shared" si="147"/>
        <v>0</v>
      </c>
      <c r="CX122" s="24">
        <f t="shared" si="147"/>
        <v>0</v>
      </c>
      <c r="CY122" s="24">
        <f t="shared" si="148"/>
        <v>0</v>
      </c>
      <c r="CZ122" s="24">
        <f t="shared" si="148"/>
        <v>0</v>
      </c>
      <c r="DA122" s="24">
        <f t="shared" si="148"/>
        <v>0</v>
      </c>
      <c r="DB122" s="24">
        <f t="shared" si="149"/>
        <v>0</v>
      </c>
      <c r="DC122" s="24">
        <f t="shared" si="149"/>
        <v>0</v>
      </c>
      <c r="DD122" s="24">
        <f t="shared" si="149"/>
        <v>0</v>
      </c>
      <c r="DE122" s="24"/>
      <c r="DF122" s="24">
        <f t="shared" si="150"/>
        <v>0</v>
      </c>
      <c r="DG122" s="24">
        <f t="shared" si="150"/>
        <v>0</v>
      </c>
      <c r="DH122" s="24">
        <f t="shared" si="150"/>
        <v>2020202</v>
      </c>
    </row>
    <row r="123" spans="1:113" ht="27.75" customHeight="1" x14ac:dyDescent="0.25">
      <c r="A123" s="238"/>
      <c r="B123" s="232"/>
      <c r="C123" s="69" t="s">
        <v>342</v>
      </c>
      <c r="D123" s="21" t="s">
        <v>343</v>
      </c>
      <c r="E123" s="94">
        <v>211</v>
      </c>
      <c r="F123" s="23" t="s">
        <v>76</v>
      </c>
      <c r="G123" s="24">
        <f t="shared" si="137"/>
        <v>5846336</v>
      </c>
      <c r="H123" s="33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>
        <f>5000000+846336</f>
        <v>5846336</v>
      </c>
      <c r="AA123" s="25">
        <f t="shared" si="110"/>
        <v>0.72683899796385287</v>
      </c>
      <c r="AB123" s="24">
        <f t="shared" si="138"/>
        <v>4249345</v>
      </c>
      <c r="AC123" s="24"/>
      <c r="AD123" s="24"/>
      <c r="AE123" s="24"/>
      <c r="AF123" s="24"/>
      <c r="AG123" s="24"/>
      <c r="AH123" s="24"/>
      <c r="AI123" s="24"/>
      <c r="AJ123" s="24"/>
      <c r="AK123" s="24"/>
      <c r="AL123" s="24"/>
      <c r="AM123" s="24"/>
      <c r="AN123" s="24"/>
      <c r="AO123" s="24"/>
      <c r="AP123" s="24"/>
      <c r="AQ123" s="24"/>
      <c r="AR123" s="24"/>
      <c r="AS123" s="24"/>
      <c r="AT123" s="24"/>
      <c r="AU123" s="24"/>
      <c r="AV123" s="24">
        <f>+'[1]SEPTIEMBRE 2016'!$G$284</f>
        <v>4249345</v>
      </c>
      <c r="AW123" s="25">
        <f t="shared" si="112"/>
        <v>0.27316100203614713</v>
      </c>
      <c r="AX123" s="24">
        <f t="shared" si="139"/>
        <v>1596991</v>
      </c>
      <c r="AY123" s="24">
        <f t="shared" si="140"/>
        <v>0</v>
      </c>
      <c r="AZ123" s="24">
        <f t="shared" si="140"/>
        <v>0</v>
      </c>
      <c r="BA123" s="24">
        <f t="shared" si="140"/>
        <v>0</v>
      </c>
      <c r="BB123" s="24">
        <f t="shared" si="141"/>
        <v>0</v>
      </c>
      <c r="BC123" s="24">
        <f t="shared" si="141"/>
        <v>0</v>
      </c>
      <c r="BD123" s="24">
        <f t="shared" si="141"/>
        <v>0</v>
      </c>
      <c r="BE123" s="24">
        <f t="shared" si="141"/>
        <v>0</v>
      </c>
      <c r="BF123" s="24">
        <f t="shared" si="141"/>
        <v>0</v>
      </c>
      <c r="BG123" s="24">
        <f t="shared" si="141"/>
        <v>0</v>
      </c>
      <c r="BH123" s="24">
        <f t="shared" si="141"/>
        <v>0</v>
      </c>
      <c r="BI123" s="24">
        <f t="shared" si="141"/>
        <v>0</v>
      </c>
      <c r="BJ123" s="24">
        <f t="shared" si="141"/>
        <v>0</v>
      </c>
      <c r="BK123" s="24">
        <f t="shared" si="141"/>
        <v>0</v>
      </c>
      <c r="BL123" s="24">
        <f t="shared" si="141"/>
        <v>0</v>
      </c>
      <c r="BM123" s="24">
        <f t="shared" si="141"/>
        <v>0</v>
      </c>
      <c r="BN123" s="24"/>
      <c r="BO123" s="24"/>
      <c r="BP123" s="24">
        <f t="shared" si="142"/>
        <v>0</v>
      </c>
      <c r="BQ123" s="24">
        <f t="shared" si="143"/>
        <v>1596991</v>
      </c>
      <c r="BR123" s="25">
        <f t="shared" si="118"/>
        <v>0.72683899796385287</v>
      </c>
      <c r="BS123" s="24">
        <f t="shared" si="144"/>
        <v>4249345</v>
      </c>
      <c r="BT123" s="24"/>
      <c r="BU123" s="24"/>
      <c r="BV123" s="24"/>
      <c r="BW123" s="24"/>
      <c r="BX123" s="24"/>
      <c r="BY123" s="24"/>
      <c r="BZ123" s="24"/>
      <c r="CA123" s="24"/>
      <c r="CB123" s="24"/>
      <c r="CC123" s="24"/>
      <c r="CD123" s="24"/>
      <c r="CE123" s="24"/>
      <c r="CF123" s="24"/>
      <c r="CG123" s="24"/>
      <c r="CH123" s="24"/>
      <c r="CI123" s="24"/>
      <c r="CJ123" s="24"/>
      <c r="CK123" s="24"/>
      <c r="CL123" s="24"/>
      <c r="CM123" s="24">
        <f>+'[1]SEPTIEMBRE 2016'!$H$284</f>
        <v>4249345</v>
      </c>
      <c r="CN123" s="25">
        <f t="shared" si="120"/>
        <v>0.27316100203614713</v>
      </c>
      <c r="CO123" s="24">
        <f t="shared" si="145"/>
        <v>1596991</v>
      </c>
      <c r="CP123" s="24">
        <f t="shared" si="146"/>
        <v>0</v>
      </c>
      <c r="CQ123" s="24">
        <f t="shared" si="146"/>
        <v>0</v>
      </c>
      <c r="CR123" s="24">
        <f t="shared" si="146"/>
        <v>0</v>
      </c>
      <c r="CS123" s="24">
        <f t="shared" si="146"/>
        <v>0</v>
      </c>
      <c r="CT123" s="24">
        <f t="shared" si="146"/>
        <v>0</v>
      </c>
      <c r="CU123" s="24">
        <f t="shared" si="146"/>
        <v>0</v>
      </c>
      <c r="CV123" s="24">
        <f t="shared" si="147"/>
        <v>0</v>
      </c>
      <c r="CW123" s="24">
        <f t="shared" si="147"/>
        <v>0</v>
      </c>
      <c r="CX123" s="24">
        <f t="shared" si="147"/>
        <v>0</v>
      </c>
      <c r="CY123" s="24">
        <f t="shared" si="148"/>
        <v>0</v>
      </c>
      <c r="CZ123" s="24">
        <f t="shared" si="148"/>
        <v>0</v>
      </c>
      <c r="DA123" s="24">
        <f t="shared" si="148"/>
        <v>0</v>
      </c>
      <c r="DB123" s="24">
        <f t="shared" si="149"/>
        <v>0</v>
      </c>
      <c r="DC123" s="24">
        <f t="shared" si="149"/>
        <v>0</v>
      </c>
      <c r="DD123" s="24">
        <f t="shared" si="149"/>
        <v>0</v>
      </c>
      <c r="DE123" s="24"/>
      <c r="DF123" s="24">
        <f t="shared" si="150"/>
        <v>0</v>
      </c>
      <c r="DG123" s="24">
        <f t="shared" si="150"/>
        <v>0</v>
      </c>
      <c r="DH123" s="24">
        <f t="shared" si="150"/>
        <v>1596991</v>
      </c>
    </row>
    <row r="124" spans="1:113" s="58" customFormat="1" ht="29.25" customHeight="1" x14ac:dyDescent="0.25">
      <c r="A124" s="238"/>
      <c r="B124" s="232"/>
      <c r="C124" s="55" t="s">
        <v>344</v>
      </c>
      <c r="D124" s="21" t="s">
        <v>345</v>
      </c>
      <c r="E124" s="89">
        <v>211</v>
      </c>
      <c r="F124" s="23" t="s">
        <v>324</v>
      </c>
      <c r="G124" s="24">
        <f t="shared" si="137"/>
        <v>256213729</v>
      </c>
      <c r="H124" s="28"/>
      <c r="I124" s="54">
        <f>296464791+28735209-68986271</f>
        <v>256213729</v>
      </c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>
        <f>28735209-28735209</f>
        <v>0</v>
      </c>
      <c r="V124" s="24"/>
      <c r="W124" s="24"/>
      <c r="X124" s="24"/>
      <c r="Y124" s="24"/>
      <c r="Z124" s="24"/>
      <c r="AA124" s="57">
        <f t="shared" si="110"/>
        <v>0.97989803270846587</v>
      </c>
      <c r="AB124" s="24">
        <f t="shared" si="138"/>
        <v>251063329</v>
      </c>
      <c r="AC124" s="54"/>
      <c r="AD124" s="54"/>
      <c r="AE124" s="54">
        <f>+'[1]SEPTIEMBRE 2016'!$M$296</f>
        <v>251063329</v>
      </c>
      <c r="AF124" s="54"/>
      <c r="AG124" s="54"/>
      <c r="AH124" s="54"/>
      <c r="AI124" s="54"/>
      <c r="AJ124" s="54"/>
      <c r="AK124" s="54"/>
      <c r="AL124" s="54"/>
      <c r="AM124" s="54"/>
      <c r="AN124" s="54"/>
      <c r="AO124" s="54"/>
      <c r="AP124" s="54"/>
      <c r="AQ124" s="54"/>
      <c r="AR124" s="54"/>
      <c r="AS124" s="54"/>
      <c r="AT124" s="54"/>
      <c r="AU124" s="54"/>
      <c r="AV124" s="54"/>
      <c r="AW124" s="57">
        <f t="shared" si="112"/>
        <v>2.0101967291534129E-2</v>
      </c>
      <c r="AX124" s="24">
        <f t="shared" si="139"/>
        <v>5150400</v>
      </c>
      <c r="AY124" s="54">
        <f t="shared" si="140"/>
        <v>0</v>
      </c>
      <c r="AZ124" s="54">
        <f t="shared" si="140"/>
        <v>5150400</v>
      </c>
      <c r="BA124" s="54">
        <f t="shared" si="140"/>
        <v>0</v>
      </c>
      <c r="BB124" s="54">
        <f t="shared" si="141"/>
        <v>0</v>
      </c>
      <c r="BC124" s="54">
        <f t="shared" si="141"/>
        <v>0</v>
      </c>
      <c r="BD124" s="24">
        <f t="shared" si="141"/>
        <v>0</v>
      </c>
      <c r="BE124" s="54">
        <f t="shared" si="141"/>
        <v>0</v>
      </c>
      <c r="BF124" s="54">
        <f t="shared" si="141"/>
        <v>0</v>
      </c>
      <c r="BG124" s="54">
        <f t="shared" si="141"/>
        <v>0</v>
      </c>
      <c r="BH124" s="54">
        <f t="shared" si="141"/>
        <v>0</v>
      </c>
      <c r="BI124" s="54">
        <f t="shared" si="141"/>
        <v>0</v>
      </c>
      <c r="BJ124" s="54">
        <f t="shared" si="141"/>
        <v>0</v>
      </c>
      <c r="BK124" s="54">
        <f t="shared" si="141"/>
        <v>0</v>
      </c>
      <c r="BL124" s="54">
        <f t="shared" si="141"/>
        <v>0</v>
      </c>
      <c r="BM124" s="54">
        <f t="shared" si="141"/>
        <v>0</v>
      </c>
      <c r="BN124" s="54"/>
      <c r="BO124" s="54"/>
      <c r="BP124" s="24">
        <f t="shared" si="142"/>
        <v>0</v>
      </c>
      <c r="BQ124" s="54">
        <f t="shared" si="143"/>
        <v>0</v>
      </c>
      <c r="BR124" s="57">
        <f t="shared" si="118"/>
        <v>0.97989803270846587</v>
      </c>
      <c r="BS124" s="24">
        <f t="shared" si="144"/>
        <v>251063329</v>
      </c>
      <c r="BT124" s="54"/>
      <c r="BU124" s="54"/>
      <c r="BV124" s="54">
        <f>+'[1]SEPTIEMBRE 2016'!$H$294</f>
        <v>251063329</v>
      </c>
      <c r="BW124" s="54"/>
      <c r="BX124" s="54"/>
      <c r="BY124" s="54"/>
      <c r="BZ124" s="54"/>
      <c r="CA124" s="54"/>
      <c r="CB124" s="54"/>
      <c r="CC124" s="54"/>
      <c r="CD124" s="54"/>
      <c r="CE124" s="54"/>
      <c r="CF124" s="54"/>
      <c r="CG124" s="54"/>
      <c r="CH124" s="54"/>
      <c r="CI124" s="54"/>
      <c r="CJ124" s="54"/>
      <c r="CK124" s="54"/>
      <c r="CL124" s="54"/>
      <c r="CM124" s="54"/>
      <c r="CN124" s="57">
        <f t="shared" si="120"/>
        <v>2.0101967291534129E-2</v>
      </c>
      <c r="CO124" s="24">
        <f t="shared" si="145"/>
        <v>5150400</v>
      </c>
      <c r="CP124" s="24">
        <f t="shared" si="146"/>
        <v>0</v>
      </c>
      <c r="CQ124" s="54">
        <f t="shared" si="146"/>
        <v>5150400</v>
      </c>
      <c r="CR124" s="54">
        <f t="shared" si="146"/>
        <v>0</v>
      </c>
      <c r="CS124" s="54">
        <f t="shared" si="146"/>
        <v>0</v>
      </c>
      <c r="CT124" s="54">
        <f t="shared" si="146"/>
        <v>0</v>
      </c>
      <c r="CU124" s="24">
        <f t="shared" si="146"/>
        <v>0</v>
      </c>
      <c r="CV124" s="54">
        <f t="shared" si="147"/>
        <v>0</v>
      </c>
      <c r="CW124" s="54">
        <f t="shared" si="147"/>
        <v>0</v>
      </c>
      <c r="CX124" s="24">
        <f t="shared" si="147"/>
        <v>0</v>
      </c>
      <c r="CY124" s="54">
        <f t="shared" si="148"/>
        <v>0</v>
      </c>
      <c r="CZ124" s="54">
        <f t="shared" si="148"/>
        <v>0</v>
      </c>
      <c r="DA124" s="54">
        <f t="shared" si="148"/>
        <v>0</v>
      </c>
      <c r="DB124" s="54">
        <f t="shared" si="149"/>
        <v>0</v>
      </c>
      <c r="DC124" s="54">
        <f t="shared" si="149"/>
        <v>0</v>
      </c>
      <c r="DD124" s="54">
        <f t="shared" si="149"/>
        <v>0</v>
      </c>
      <c r="DE124" s="54"/>
      <c r="DF124" s="54">
        <f t="shared" si="150"/>
        <v>0</v>
      </c>
      <c r="DG124" s="54">
        <f t="shared" si="150"/>
        <v>0</v>
      </c>
      <c r="DH124" s="54">
        <f t="shared" si="150"/>
        <v>0</v>
      </c>
    </row>
    <row r="125" spans="1:113" s="58" customFormat="1" ht="28.5" customHeight="1" x14ac:dyDescent="0.25">
      <c r="A125" s="238"/>
      <c r="B125" s="233"/>
      <c r="C125" s="55" t="s">
        <v>346</v>
      </c>
      <c r="D125" s="21" t="s">
        <v>347</v>
      </c>
      <c r="E125" s="89">
        <v>211</v>
      </c>
      <c r="F125" s="23" t="s">
        <v>324</v>
      </c>
      <c r="G125" s="24">
        <f t="shared" si="137"/>
        <v>250000000</v>
      </c>
      <c r="H125" s="28"/>
      <c r="I125" s="54"/>
      <c r="J125" s="24"/>
      <c r="K125" s="24"/>
      <c r="L125" s="24"/>
      <c r="M125" s="24"/>
      <c r="N125" s="24"/>
      <c r="O125" s="24"/>
      <c r="P125" s="24"/>
      <c r="Q125" s="24"/>
      <c r="R125" s="24"/>
      <c r="S125" s="24">
        <v>250000000</v>
      </c>
      <c r="T125" s="24"/>
      <c r="U125" s="24"/>
      <c r="V125" s="24"/>
      <c r="W125" s="24"/>
      <c r="X125" s="24"/>
      <c r="Y125" s="24"/>
      <c r="Z125" s="24"/>
      <c r="AA125" s="57">
        <f t="shared" si="110"/>
        <v>1</v>
      </c>
      <c r="AB125" s="24">
        <f t="shared" si="138"/>
        <v>250000000</v>
      </c>
      <c r="AC125" s="54"/>
      <c r="AD125" s="54"/>
      <c r="AE125" s="54"/>
      <c r="AF125" s="54"/>
      <c r="AG125" s="54"/>
      <c r="AH125" s="54"/>
      <c r="AI125" s="54"/>
      <c r="AJ125" s="54"/>
      <c r="AK125" s="54"/>
      <c r="AL125" s="54"/>
      <c r="AM125" s="54"/>
      <c r="AN125" s="54"/>
      <c r="AO125" s="54">
        <f>+'[6]JUNIO 2016'!$W$197</f>
        <v>250000000</v>
      </c>
      <c r="AP125" s="54"/>
      <c r="AQ125" s="54"/>
      <c r="AR125" s="54"/>
      <c r="AS125" s="54"/>
      <c r="AT125" s="54"/>
      <c r="AU125" s="54"/>
      <c r="AV125" s="54"/>
      <c r="AW125" s="57">
        <f t="shared" si="112"/>
        <v>0</v>
      </c>
      <c r="AX125" s="24">
        <f t="shared" si="139"/>
        <v>0</v>
      </c>
      <c r="AY125" s="54">
        <f t="shared" si="140"/>
        <v>0</v>
      </c>
      <c r="AZ125" s="54">
        <f t="shared" si="140"/>
        <v>0</v>
      </c>
      <c r="BA125" s="54">
        <f t="shared" si="140"/>
        <v>0</v>
      </c>
      <c r="BB125" s="54">
        <f t="shared" si="140"/>
        <v>0</v>
      </c>
      <c r="BC125" s="54">
        <f t="shared" si="140"/>
        <v>0</v>
      </c>
      <c r="BD125" s="54">
        <f t="shared" si="140"/>
        <v>0</v>
      </c>
      <c r="BE125" s="54">
        <f t="shared" si="140"/>
        <v>0</v>
      </c>
      <c r="BF125" s="54">
        <f t="shared" si="140"/>
        <v>0</v>
      </c>
      <c r="BG125" s="54">
        <f t="shared" si="140"/>
        <v>0</v>
      </c>
      <c r="BH125" s="54">
        <f t="shared" si="140"/>
        <v>0</v>
      </c>
      <c r="BI125" s="54">
        <f t="shared" si="140"/>
        <v>0</v>
      </c>
      <c r="BJ125" s="54">
        <f t="shared" si="140"/>
        <v>0</v>
      </c>
      <c r="BK125" s="54">
        <f t="shared" si="140"/>
        <v>0</v>
      </c>
      <c r="BL125" s="54">
        <f t="shared" si="140"/>
        <v>0</v>
      </c>
      <c r="BM125" s="54">
        <f t="shared" si="140"/>
        <v>0</v>
      </c>
      <c r="BN125" s="54"/>
      <c r="BO125" s="54">
        <f>X125-AT125</f>
        <v>0</v>
      </c>
      <c r="BP125" s="24">
        <f t="shared" si="142"/>
        <v>0</v>
      </c>
      <c r="BQ125" s="54">
        <f>Z125-AV125</f>
        <v>0</v>
      </c>
      <c r="BR125" s="57">
        <f t="shared" si="118"/>
        <v>0.99872130800000003</v>
      </c>
      <c r="BS125" s="24">
        <f t="shared" si="144"/>
        <v>249680327</v>
      </c>
      <c r="BT125" s="54"/>
      <c r="BU125" s="54"/>
      <c r="BV125" s="54"/>
      <c r="BW125" s="54"/>
      <c r="BX125" s="54"/>
      <c r="BY125" s="54"/>
      <c r="BZ125" s="54"/>
      <c r="CA125" s="54"/>
      <c r="CB125" s="54"/>
      <c r="CC125" s="54"/>
      <c r="CD125" s="54"/>
      <c r="CE125" s="54"/>
      <c r="CF125" s="54">
        <f>+'[5]JULIO 2016'!$H$221</f>
        <v>249680327</v>
      </c>
      <c r="CG125" s="54"/>
      <c r="CH125" s="54"/>
      <c r="CI125" s="54"/>
      <c r="CJ125" s="54"/>
      <c r="CK125" s="54"/>
      <c r="CL125" s="54"/>
      <c r="CM125" s="54"/>
      <c r="CN125" s="57">
        <f t="shared" si="120"/>
        <v>1.2786919999999702E-3</v>
      </c>
      <c r="CO125" s="24">
        <f t="shared" si="145"/>
        <v>319673</v>
      </c>
      <c r="CP125" s="24">
        <f t="shared" si="146"/>
        <v>0</v>
      </c>
      <c r="CQ125" s="24">
        <f t="shared" si="146"/>
        <v>0</v>
      </c>
      <c r="CR125" s="24">
        <f t="shared" si="146"/>
        <v>0</v>
      </c>
      <c r="CS125" s="24">
        <f t="shared" si="146"/>
        <v>0</v>
      </c>
      <c r="CT125" s="24">
        <f t="shared" si="146"/>
        <v>0</v>
      </c>
      <c r="CU125" s="24">
        <f t="shared" si="146"/>
        <v>0</v>
      </c>
      <c r="CV125" s="24">
        <f>N125-CA125</f>
        <v>0</v>
      </c>
      <c r="CW125" s="24">
        <f>O125-CB125</f>
        <v>0</v>
      </c>
      <c r="CX125" s="24">
        <f>P125-CC125</f>
        <v>0</v>
      </c>
      <c r="CY125" s="24">
        <f t="shared" si="148"/>
        <v>0</v>
      </c>
      <c r="CZ125" s="24">
        <f t="shared" si="148"/>
        <v>0</v>
      </c>
      <c r="DA125" s="24">
        <f t="shared" si="148"/>
        <v>319673</v>
      </c>
      <c r="DB125" s="24">
        <f>T125-CG125</f>
        <v>0</v>
      </c>
      <c r="DC125" s="24">
        <f>U125-CH125</f>
        <v>0</v>
      </c>
      <c r="DD125" s="24">
        <f>V125-CI125</f>
        <v>0</v>
      </c>
      <c r="DE125" s="24"/>
      <c r="DF125" s="24">
        <f>X125-CK125</f>
        <v>0</v>
      </c>
      <c r="DG125" s="24">
        <f>Y125-CL125</f>
        <v>0</v>
      </c>
      <c r="DH125" s="24">
        <f>Z125-CM125</f>
        <v>0</v>
      </c>
    </row>
    <row r="126" spans="1:113" s="58" customFormat="1" ht="50.25" customHeight="1" x14ac:dyDescent="0.25">
      <c r="A126" s="96"/>
      <c r="B126" s="21" t="s">
        <v>348</v>
      </c>
      <c r="C126" s="55" t="s">
        <v>349</v>
      </c>
      <c r="D126" s="21" t="s">
        <v>350</v>
      </c>
      <c r="E126" s="89" t="s">
        <v>351</v>
      </c>
      <c r="F126" s="23" t="s">
        <v>324</v>
      </c>
      <c r="G126" s="24">
        <f t="shared" si="137"/>
        <v>3185000000</v>
      </c>
      <c r="H126" s="28"/>
      <c r="I126" s="5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>
        <f>485000000</f>
        <v>485000000</v>
      </c>
      <c r="U126" s="24"/>
      <c r="V126" s="24"/>
      <c r="W126" s="24"/>
      <c r="X126" s="24">
        <v>2700000000</v>
      </c>
      <c r="Y126" s="24"/>
      <c r="Z126" s="24"/>
      <c r="AA126" s="57">
        <f t="shared" si="110"/>
        <v>0.89515172433281009</v>
      </c>
      <c r="AB126" s="24">
        <f t="shared" si="138"/>
        <v>2851058242</v>
      </c>
      <c r="AC126" s="54"/>
      <c r="AD126" s="54"/>
      <c r="AE126" s="54"/>
      <c r="AF126" s="54"/>
      <c r="AG126" s="54"/>
      <c r="AH126" s="54"/>
      <c r="AI126" s="54"/>
      <c r="AJ126" s="54"/>
      <c r="AK126" s="54"/>
      <c r="AL126" s="54"/>
      <c r="AM126" s="54"/>
      <c r="AN126" s="54"/>
      <c r="AO126" s="54"/>
      <c r="AP126" s="54">
        <f>+'[1]SEPTIEMBRE 2016'!$X$3643</f>
        <v>451915027</v>
      </c>
      <c r="AQ126" s="54"/>
      <c r="AR126" s="54"/>
      <c r="AS126" s="54"/>
      <c r="AT126" s="54">
        <f>+'[1]SEPTIEMBRE 2016'!$AB$3643</f>
        <v>2399143215</v>
      </c>
      <c r="AU126" s="54"/>
      <c r="AV126" s="54"/>
      <c r="AW126" s="57">
        <f t="shared" si="112"/>
        <v>0.10484827566718991</v>
      </c>
      <c r="AX126" s="24">
        <f t="shared" si="139"/>
        <v>333941758</v>
      </c>
      <c r="AY126" s="54"/>
      <c r="AZ126" s="54"/>
      <c r="BA126" s="54"/>
      <c r="BB126" s="54"/>
      <c r="BC126" s="54"/>
      <c r="BD126" s="54"/>
      <c r="BE126" s="54"/>
      <c r="BF126" s="54"/>
      <c r="BG126" s="54"/>
      <c r="BH126" s="54"/>
      <c r="BI126" s="54"/>
      <c r="BJ126" s="54"/>
      <c r="BK126" s="54">
        <f>T126-AP126</f>
        <v>33084973</v>
      </c>
      <c r="BL126" s="54"/>
      <c r="BM126" s="54"/>
      <c r="BN126" s="54"/>
      <c r="BO126" s="54">
        <f>X126-AT126</f>
        <v>300856785</v>
      </c>
      <c r="BP126" s="24"/>
      <c r="BQ126" s="54"/>
      <c r="BR126" s="57">
        <f t="shared" si="118"/>
        <v>0.27659845714285713</v>
      </c>
      <c r="BS126" s="24">
        <f t="shared" si="144"/>
        <v>880966086</v>
      </c>
      <c r="BT126" s="54"/>
      <c r="BU126" s="54"/>
      <c r="BV126" s="54"/>
      <c r="BW126" s="54"/>
      <c r="BX126" s="54"/>
      <c r="BY126" s="54"/>
      <c r="BZ126" s="54"/>
      <c r="CA126" s="54"/>
      <c r="CB126" s="54"/>
      <c r="CC126" s="54"/>
      <c r="CD126" s="54"/>
      <c r="CE126" s="54"/>
      <c r="CF126" s="54"/>
      <c r="CG126" s="54">
        <f>+'[1]SEPTIEMBRE 2016'!$H$3653</f>
        <v>451915027</v>
      </c>
      <c r="CH126" s="54"/>
      <c r="CI126" s="54"/>
      <c r="CJ126" s="54"/>
      <c r="CK126" s="54">
        <f>+'[4]AGOSTO 2016'!$H$3113</f>
        <v>429051059</v>
      </c>
      <c r="CL126" s="54"/>
      <c r="CM126" s="54"/>
      <c r="CN126" s="57">
        <f t="shared" si="120"/>
        <v>0.72340154285714287</v>
      </c>
      <c r="CO126" s="24">
        <f t="shared" si="145"/>
        <v>2304033914</v>
      </c>
      <c r="CP126" s="24"/>
      <c r="CQ126" s="24"/>
      <c r="CR126" s="24"/>
      <c r="CS126" s="24"/>
      <c r="CT126" s="24"/>
      <c r="CU126" s="24"/>
      <c r="CV126" s="24"/>
      <c r="CW126" s="24"/>
      <c r="CX126" s="24"/>
      <c r="CY126" s="24"/>
      <c r="CZ126" s="24"/>
      <c r="DA126" s="24"/>
      <c r="DB126" s="24">
        <f>T126-CG126</f>
        <v>33084973</v>
      </c>
      <c r="DC126" s="24"/>
      <c r="DD126" s="24"/>
      <c r="DE126" s="24"/>
      <c r="DF126" s="24">
        <f>X126-CK126</f>
        <v>2270948941</v>
      </c>
      <c r="DG126" s="24"/>
      <c r="DH126" s="24"/>
    </row>
    <row r="127" spans="1:113" ht="33.75" customHeight="1" x14ac:dyDescent="0.25">
      <c r="A127" s="238" t="s">
        <v>314</v>
      </c>
      <c r="B127" s="231" t="s">
        <v>352</v>
      </c>
      <c r="C127" s="69" t="s">
        <v>353</v>
      </c>
      <c r="D127" s="21" t="s">
        <v>354</v>
      </c>
      <c r="E127" s="94">
        <v>510</v>
      </c>
      <c r="F127" s="23" t="s">
        <v>355</v>
      </c>
      <c r="G127" s="24">
        <f t="shared" si="137"/>
        <v>97488992</v>
      </c>
      <c r="H127" s="24"/>
      <c r="I127" s="24"/>
      <c r="J127" s="24"/>
      <c r="K127" s="24">
        <f>95000000-3511008</f>
        <v>91488992</v>
      </c>
      <c r="L127" s="24"/>
      <c r="M127" s="24"/>
      <c r="N127" s="24"/>
      <c r="O127" s="24"/>
      <c r="P127" s="24"/>
      <c r="Q127" s="24"/>
      <c r="R127" s="24"/>
      <c r="S127" s="24"/>
      <c r="T127" s="24"/>
      <c r="U127" s="24">
        <v>6000000</v>
      </c>
      <c r="V127" s="24"/>
      <c r="W127" s="24"/>
      <c r="X127" s="24"/>
      <c r="Y127" s="24"/>
      <c r="Z127" s="24"/>
      <c r="AA127" s="25">
        <f t="shared" si="110"/>
        <v>0.8664362844166037</v>
      </c>
      <c r="AB127" s="24">
        <f t="shared" si="138"/>
        <v>84468000</v>
      </c>
      <c r="AC127" s="24"/>
      <c r="AD127" s="24"/>
      <c r="AE127" s="24"/>
      <c r="AF127" s="24"/>
      <c r="AG127" s="24">
        <f>+'[5]JULIO 2016'!$O$1834</f>
        <v>84468000</v>
      </c>
      <c r="AH127" s="24"/>
      <c r="AI127" s="24"/>
      <c r="AJ127" s="24"/>
      <c r="AK127" s="24"/>
      <c r="AL127" s="24"/>
      <c r="AM127" s="24"/>
      <c r="AN127" s="24"/>
      <c r="AO127" s="24"/>
      <c r="AP127" s="24"/>
      <c r="AQ127" s="24"/>
      <c r="AR127" s="24"/>
      <c r="AS127" s="24"/>
      <c r="AT127" s="24"/>
      <c r="AU127" s="24"/>
      <c r="AV127" s="24"/>
      <c r="AW127" s="25">
        <f t="shared" si="112"/>
        <v>0.1335637155833963</v>
      </c>
      <c r="AX127" s="24">
        <f t="shared" si="139"/>
        <v>13020992</v>
      </c>
      <c r="AY127" s="24">
        <f t="shared" ref="AY127:BA132" si="151">H127-AD127</f>
        <v>0</v>
      </c>
      <c r="AZ127" s="24">
        <f t="shared" si="151"/>
        <v>0</v>
      </c>
      <c r="BA127" s="24">
        <f t="shared" si="151"/>
        <v>0</v>
      </c>
      <c r="BB127" s="24">
        <f t="shared" ref="BB127:BM132" si="152">+K127-AG127</f>
        <v>7020992</v>
      </c>
      <c r="BC127" s="24">
        <f t="shared" si="152"/>
        <v>0</v>
      </c>
      <c r="BD127" s="24">
        <f t="shared" si="152"/>
        <v>0</v>
      </c>
      <c r="BE127" s="24">
        <f t="shared" si="152"/>
        <v>0</v>
      </c>
      <c r="BF127" s="24">
        <f t="shared" si="152"/>
        <v>0</v>
      </c>
      <c r="BG127" s="24">
        <f t="shared" si="152"/>
        <v>0</v>
      </c>
      <c r="BH127" s="24">
        <f t="shared" si="152"/>
        <v>0</v>
      </c>
      <c r="BI127" s="24">
        <f t="shared" si="152"/>
        <v>0</v>
      </c>
      <c r="BJ127" s="24">
        <f t="shared" si="152"/>
        <v>0</v>
      </c>
      <c r="BK127" s="24">
        <f t="shared" si="152"/>
        <v>0</v>
      </c>
      <c r="BL127" s="24">
        <f t="shared" si="152"/>
        <v>6000000</v>
      </c>
      <c r="BM127" s="24">
        <f t="shared" si="152"/>
        <v>0</v>
      </c>
      <c r="BN127" s="24"/>
      <c r="BO127" s="24"/>
      <c r="BP127" s="24">
        <f t="shared" ref="BP127:BP132" si="153">Y127-AU127</f>
        <v>0</v>
      </c>
      <c r="BQ127" s="24">
        <f t="shared" ref="BQ127:BQ132" si="154">+Z127-AV127</f>
        <v>0</v>
      </c>
      <c r="BR127" s="25">
        <f t="shared" si="118"/>
        <v>0.84342044484365986</v>
      </c>
      <c r="BS127" s="24">
        <f t="shared" si="144"/>
        <v>82224209</v>
      </c>
      <c r="BT127" s="24"/>
      <c r="BU127" s="24"/>
      <c r="BV127" s="24"/>
      <c r="BW127" s="24"/>
      <c r="BX127" s="24">
        <f>+'[4]AGOSTO 2016'!$H$2440</f>
        <v>82224209</v>
      </c>
      <c r="BY127" s="24"/>
      <c r="BZ127" s="24"/>
      <c r="CA127" s="24"/>
      <c r="CB127" s="24"/>
      <c r="CC127" s="24"/>
      <c r="CD127" s="24"/>
      <c r="CE127" s="24"/>
      <c r="CF127" s="24"/>
      <c r="CG127" s="24"/>
      <c r="CH127" s="24"/>
      <c r="CI127" s="24"/>
      <c r="CJ127" s="24"/>
      <c r="CK127" s="24"/>
      <c r="CL127" s="24"/>
      <c r="CM127" s="24"/>
      <c r="CN127" s="25">
        <f t="shared" si="120"/>
        <v>0.15657955515634014</v>
      </c>
      <c r="CO127" s="24">
        <f t="shared" si="145"/>
        <v>15264783</v>
      </c>
      <c r="CP127" s="24">
        <f t="shared" ref="CP127:CU132" si="155">H127-BU127</f>
        <v>0</v>
      </c>
      <c r="CQ127" s="24">
        <f t="shared" si="155"/>
        <v>0</v>
      </c>
      <c r="CR127" s="24">
        <f t="shared" si="155"/>
        <v>0</v>
      </c>
      <c r="CS127" s="24">
        <f t="shared" si="155"/>
        <v>9264783</v>
      </c>
      <c r="CT127" s="24">
        <f t="shared" si="155"/>
        <v>0</v>
      </c>
      <c r="CU127" s="24">
        <f t="shared" si="155"/>
        <v>0</v>
      </c>
      <c r="CV127" s="24">
        <f t="shared" ref="CV127:CX132" si="156">+N127-CA127</f>
        <v>0</v>
      </c>
      <c r="CW127" s="24">
        <f t="shared" si="156"/>
        <v>0</v>
      </c>
      <c r="CX127" s="24">
        <f t="shared" si="156"/>
        <v>0</v>
      </c>
      <c r="CY127" s="24">
        <f t="shared" ref="CY127:DA132" si="157">Q127-CD127</f>
        <v>0</v>
      </c>
      <c r="CZ127" s="24">
        <f t="shared" si="157"/>
        <v>0</v>
      </c>
      <c r="DA127" s="24">
        <f t="shared" si="157"/>
        <v>0</v>
      </c>
      <c r="DB127" s="24">
        <f t="shared" ref="DB127:DD132" si="158">+T127-CG127</f>
        <v>0</v>
      </c>
      <c r="DC127" s="24">
        <f t="shared" si="158"/>
        <v>6000000</v>
      </c>
      <c r="DD127" s="24">
        <f t="shared" si="158"/>
        <v>0</v>
      </c>
      <c r="DE127" s="24"/>
      <c r="DF127" s="24">
        <f t="shared" ref="DF127:DH132" si="159">+X127-CK127</f>
        <v>0</v>
      </c>
      <c r="DG127" s="24">
        <f t="shared" si="159"/>
        <v>0</v>
      </c>
      <c r="DH127" s="24">
        <f t="shared" si="159"/>
        <v>0</v>
      </c>
    </row>
    <row r="128" spans="1:113" ht="44.25" customHeight="1" x14ac:dyDescent="0.25">
      <c r="A128" s="238"/>
      <c r="B128" s="232"/>
      <c r="C128" s="69" t="s">
        <v>356</v>
      </c>
      <c r="D128" s="21" t="s">
        <v>357</v>
      </c>
      <c r="E128" s="94">
        <v>510</v>
      </c>
      <c r="F128" s="23" t="s">
        <v>355</v>
      </c>
      <c r="G128" s="24">
        <f t="shared" si="137"/>
        <v>105511008</v>
      </c>
      <c r="H128" s="24"/>
      <c r="I128" s="24"/>
      <c r="J128" s="24"/>
      <c r="K128" s="24">
        <f>102000000+3511008</f>
        <v>105511008</v>
      </c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5">
        <f t="shared" si="110"/>
        <v>0.99989566965372945</v>
      </c>
      <c r="AB128" s="24">
        <f t="shared" si="138"/>
        <v>105500000</v>
      </c>
      <c r="AC128" s="24"/>
      <c r="AD128" s="24"/>
      <c r="AE128" s="24"/>
      <c r="AF128" s="24"/>
      <c r="AG128" s="24">
        <f>+'[1]SEPTIEMBRE 2016'!$O$2892</f>
        <v>105500000</v>
      </c>
      <c r="AH128" s="24"/>
      <c r="AI128" s="24"/>
      <c r="AJ128" s="24"/>
      <c r="AK128" s="24"/>
      <c r="AL128" s="24"/>
      <c r="AM128" s="24"/>
      <c r="AN128" s="24"/>
      <c r="AO128" s="24"/>
      <c r="AP128" s="24"/>
      <c r="AQ128" s="24"/>
      <c r="AR128" s="24"/>
      <c r="AS128" s="24"/>
      <c r="AT128" s="24"/>
      <c r="AU128" s="24"/>
      <c r="AV128" s="24"/>
      <c r="AW128" s="25">
        <f t="shared" si="112"/>
        <v>1.043303462705536E-4</v>
      </c>
      <c r="AX128" s="24">
        <f t="shared" si="139"/>
        <v>11008</v>
      </c>
      <c r="AY128" s="24">
        <f t="shared" si="151"/>
        <v>0</v>
      </c>
      <c r="AZ128" s="24">
        <f t="shared" si="151"/>
        <v>0</v>
      </c>
      <c r="BA128" s="24">
        <f t="shared" si="151"/>
        <v>0</v>
      </c>
      <c r="BB128" s="24">
        <f t="shared" si="152"/>
        <v>11008</v>
      </c>
      <c r="BC128" s="24">
        <f t="shared" si="152"/>
        <v>0</v>
      </c>
      <c r="BD128" s="24">
        <f t="shared" si="152"/>
        <v>0</v>
      </c>
      <c r="BE128" s="24">
        <f t="shared" si="152"/>
        <v>0</v>
      </c>
      <c r="BF128" s="24">
        <f t="shared" si="152"/>
        <v>0</v>
      </c>
      <c r="BG128" s="24">
        <f t="shared" si="152"/>
        <v>0</v>
      </c>
      <c r="BH128" s="24">
        <f t="shared" si="152"/>
        <v>0</v>
      </c>
      <c r="BI128" s="24">
        <f t="shared" si="152"/>
        <v>0</v>
      </c>
      <c r="BJ128" s="24">
        <f t="shared" si="152"/>
        <v>0</v>
      </c>
      <c r="BK128" s="24">
        <f t="shared" si="152"/>
        <v>0</v>
      </c>
      <c r="BL128" s="24">
        <f t="shared" si="152"/>
        <v>0</v>
      </c>
      <c r="BM128" s="24">
        <f t="shared" si="152"/>
        <v>0</v>
      </c>
      <c r="BN128" s="24"/>
      <c r="BO128" s="24"/>
      <c r="BP128" s="24">
        <f t="shared" si="153"/>
        <v>0</v>
      </c>
      <c r="BQ128" s="24">
        <f t="shared" si="154"/>
        <v>0</v>
      </c>
      <c r="BR128" s="25">
        <f t="shared" si="118"/>
        <v>0.95702875855379943</v>
      </c>
      <c r="BS128" s="24">
        <f t="shared" si="144"/>
        <v>100977069</v>
      </c>
      <c r="BT128" s="24"/>
      <c r="BU128" s="24"/>
      <c r="BV128" s="24"/>
      <c r="BW128" s="24"/>
      <c r="BX128" s="24">
        <f>+'[5]JULIO 2016'!$H$1849</f>
        <v>100977069</v>
      </c>
      <c r="BY128" s="24"/>
      <c r="BZ128" s="24"/>
      <c r="CA128" s="24"/>
      <c r="CB128" s="24"/>
      <c r="CC128" s="24"/>
      <c r="CD128" s="24"/>
      <c r="CE128" s="24"/>
      <c r="CF128" s="24"/>
      <c r="CG128" s="24"/>
      <c r="CH128" s="24"/>
      <c r="CI128" s="24"/>
      <c r="CJ128" s="24"/>
      <c r="CK128" s="24"/>
      <c r="CL128" s="24"/>
      <c r="CM128" s="24"/>
      <c r="CN128" s="25">
        <f t="shared" si="120"/>
        <v>4.297124144620057E-2</v>
      </c>
      <c r="CO128" s="24">
        <f t="shared" si="145"/>
        <v>4533939</v>
      </c>
      <c r="CP128" s="24">
        <f t="shared" si="155"/>
        <v>0</v>
      </c>
      <c r="CQ128" s="24">
        <f t="shared" si="155"/>
        <v>0</v>
      </c>
      <c r="CR128" s="24">
        <f t="shared" si="155"/>
        <v>0</v>
      </c>
      <c r="CS128" s="24">
        <f t="shared" si="155"/>
        <v>4533939</v>
      </c>
      <c r="CT128" s="24">
        <f t="shared" si="155"/>
        <v>0</v>
      </c>
      <c r="CU128" s="24">
        <f t="shared" si="155"/>
        <v>0</v>
      </c>
      <c r="CV128" s="24">
        <f t="shared" si="156"/>
        <v>0</v>
      </c>
      <c r="CW128" s="24">
        <f t="shared" si="156"/>
        <v>0</v>
      </c>
      <c r="CX128" s="24">
        <f t="shared" si="156"/>
        <v>0</v>
      </c>
      <c r="CY128" s="24">
        <f t="shared" si="157"/>
        <v>0</v>
      </c>
      <c r="CZ128" s="24">
        <f t="shared" si="157"/>
        <v>0</v>
      </c>
      <c r="DA128" s="24">
        <f t="shared" si="157"/>
        <v>0</v>
      </c>
      <c r="DB128" s="24">
        <f t="shared" si="158"/>
        <v>0</v>
      </c>
      <c r="DC128" s="24">
        <f t="shared" si="158"/>
        <v>0</v>
      </c>
      <c r="DD128" s="24">
        <f t="shared" si="158"/>
        <v>0</v>
      </c>
      <c r="DE128" s="24"/>
      <c r="DF128" s="24">
        <f t="shared" si="159"/>
        <v>0</v>
      </c>
      <c r="DG128" s="24">
        <f t="shared" si="159"/>
        <v>0</v>
      </c>
      <c r="DH128" s="24">
        <f t="shared" si="159"/>
        <v>0</v>
      </c>
    </row>
    <row r="129" spans="1:112" ht="38.25" customHeight="1" x14ac:dyDescent="0.25">
      <c r="A129" s="238"/>
      <c r="B129" s="233"/>
      <c r="C129" s="69" t="s">
        <v>358</v>
      </c>
      <c r="D129" s="21" t="s">
        <v>359</v>
      </c>
      <c r="E129" s="94">
        <v>510</v>
      </c>
      <c r="F129" s="23" t="s">
        <v>355</v>
      </c>
      <c r="G129" s="24">
        <f t="shared" si="137"/>
        <v>10000000</v>
      </c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>
        <v>10000000</v>
      </c>
      <c r="T129" s="24"/>
      <c r="U129" s="24"/>
      <c r="V129" s="24"/>
      <c r="W129" s="24"/>
      <c r="X129" s="24"/>
      <c r="Y129" s="24"/>
      <c r="Z129" s="24"/>
      <c r="AA129" s="25">
        <f t="shared" si="110"/>
        <v>0</v>
      </c>
      <c r="AB129" s="24">
        <f t="shared" si="138"/>
        <v>0</v>
      </c>
      <c r="AC129" s="24"/>
      <c r="AD129" s="24"/>
      <c r="AE129" s="24"/>
      <c r="AF129" s="24"/>
      <c r="AG129" s="24"/>
      <c r="AH129" s="24"/>
      <c r="AI129" s="24"/>
      <c r="AJ129" s="24"/>
      <c r="AK129" s="24"/>
      <c r="AL129" s="24"/>
      <c r="AM129" s="24"/>
      <c r="AN129" s="24"/>
      <c r="AO129" s="24"/>
      <c r="AP129" s="24"/>
      <c r="AQ129" s="24"/>
      <c r="AR129" s="24"/>
      <c r="AS129" s="24"/>
      <c r="AT129" s="24"/>
      <c r="AU129" s="24"/>
      <c r="AV129" s="24"/>
      <c r="AW129" s="25">
        <f t="shared" si="112"/>
        <v>1</v>
      </c>
      <c r="AX129" s="24">
        <f t="shared" si="139"/>
        <v>10000000</v>
      </c>
      <c r="AY129" s="24">
        <f t="shared" si="151"/>
        <v>0</v>
      </c>
      <c r="AZ129" s="24">
        <f t="shared" si="151"/>
        <v>0</v>
      </c>
      <c r="BA129" s="24">
        <f t="shared" si="151"/>
        <v>0</v>
      </c>
      <c r="BB129" s="24">
        <f t="shared" si="152"/>
        <v>0</v>
      </c>
      <c r="BC129" s="24">
        <f t="shared" si="152"/>
        <v>0</v>
      </c>
      <c r="BD129" s="24">
        <f t="shared" si="152"/>
        <v>0</v>
      </c>
      <c r="BE129" s="24">
        <f t="shared" si="152"/>
        <v>0</v>
      </c>
      <c r="BF129" s="24">
        <f t="shared" si="152"/>
        <v>0</v>
      </c>
      <c r="BG129" s="24">
        <f t="shared" si="152"/>
        <v>0</v>
      </c>
      <c r="BH129" s="24">
        <f t="shared" si="152"/>
        <v>0</v>
      </c>
      <c r="BI129" s="24">
        <f t="shared" si="152"/>
        <v>0</v>
      </c>
      <c r="BJ129" s="24">
        <f t="shared" si="152"/>
        <v>10000000</v>
      </c>
      <c r="BK129" s="24">
        <f t="shared" si="152"/>
        <v>0</v>
      </c>
      <c r="BL129" s="24">
        <f t="shared" si="152"/>
        <v>0</v>
      </c>
      <c r="BM129" s="24">
        <f t="shared" si="152"/>
        <v>0</v>
      </c>
      <c r="BN129" s="24"/>
      <c r="BO129" s="24"/>
      <c r="BP129" s="24">
        <f t="shared" si="153"/>
        <v>0</v>
      </c>
      <c r="BQ129" s="24">
        <f t="shared" si="154"/>
        <v>0</v>
      </c>
      <c r="BR129" s="25">
        <f t="shared" si="118"/>
        <v>0</v>
      </c>
      <c r="BS129" s="24">
        <f t="shared" si="144"/>
        <v>0</v>
      </c>
      <c r="BT129" s="24"/>
      <c r="BU129" s="24"/>
      <c r="BV129" s="24"/>
      <c r="BW129" s="24"/>
      <c r="BX129" s="24"/>
      <c r="BY129" s="24"/>
      <c r="BZ129" s="24"/>
      <c r="CA129" s="24"/>
      <c r="CB129" s="24"/>
      <c r="CC129" s="24"/>
      <c r="CD129" s="24"/>
      <c r="CE129" s="24"/>
      <c r="CF129" s="24"/>
      <c r="CG129" s="24"/>
      <c r="CH129" s="24"/>
      <c r="CI129" s="24"/>
      <c r="CJ129" s="24"/>
      <c r="CK129" s="24"/>
      <c r="CL129" s="24"/>
      <c r="CM129" s="24"/>
      <c r="CN129" s="25">
        <f t="shared" si="120"/>
        <v>1</v>
      </c>
      <c r="CO129" s="24">
        <f t="shared" si="145"/>
        <v>10000000</v>
      </c>
      <c r="CP129" s="24">
        <f t="shared" si="155"/>
        <v>0</v>
      </c>
      <c r="CQ129" s="24">
        <f t="shared" si="155"/>
        <v>0</v>
      </c>
      <c r="CR129" s="24">
        <f t="shared" si="155"/>
        <v>0</v>
      </c>
      <c r="CS129" s="24">
        <f t="shared" si="155"/>
        <v>0</v>
      </c>
      <c r="CT129" s="24">
        <f t="shared" si="155"/>
        <v>0</v>
      </c>
      <c r="CU129" s="24">
        <f t="shared" si="155"/>
        <v>0</v>
      </c>
      <c r="CV129" s="24">
        <f t="shared" si="156"/>
        <v>0</v>
      </c>
      <c r="CW129" s="24">
        <f t="shared" si="156"/>
        <v>0</v>
      </c>
      <c r="CX129" s="24">
        <f t="shared" si="156"/>
        <v>0</v>
      </c>
      <c r="CY129" s="24">
        <f t="shared" si="157"/>
        <v>0</v>
      </c>
      <c r="CZ129" s="24">
        <f t="shared" si="157"/>
        <v>0</v>
      </c>
      <c r="DA129" s="24">
        <f t="shared" si="157"/>
        <v>10000000</v>
      </c>
      <c r="DB129" s="24">
        <f t="shared" si="158"/>
        <v>0</v>
      </c>
      <c r="DC129" s="24">
        <f t="shared" si="158"/>
        <v>0</v>
      </c>
      <c r="DD129" s="24">
        <f t="shared" si="158"/>
        <v>0</v>
      </c>
      <c r="DE129" s="24"/>
      <c r="DF129" s="24">
        <f t="shared" si="159"/>
        <v>0</v>
      </c>
      <c r="DG129" s="24">
        <f t="shared" si="159"/>
        <v>0</v>
      </c>
      <c r="DH129" s="24">
        <f t="shared" si="159"/>
        <v>0</v>
      </c>
    </row>
    <row r="130" spans="1:112" ht="37.5" customHeight="1" x14ac:dyDescent="0.25">
      <c r="A130" s="238"/>
      <c r="B130" s="88" t="s">
        <v>360</v>
      </c>
      <c r="C130" s="69" t="s">
        <v>361</v>
      </c>
      <c r="D130" s="21" t="s">
        <v>362</v>
      </c>
      <c r="E130" s="94">
        <v>510</v>
      </c>
      <c r="F130" s="23" t="s">
        <v>355</v>
      </c>
      <c r="G130" s="24">
        <f t="shared" si="137"/>
        <v>80000000</v>
      </c>
      <c r="H130" s="24"/>
      <c r="I130" s="24"/>
      <c r="J130" s="24"/>
      <c r="K130" s="24">
        <v>80000000</v>
      </c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5">
        <f t="shared" si="110"/>
        <v>1</v>
      </c>
      <c r="AB130" s="24">
        <f t="shared" si="138"/>
        <v>80000000</v>
      </c>
      <c r="AC130" s="24"/>
      <c r="AD130" s="24"/>
      <c r="AE130" s="24"/>
      <c r="AF130" s="24"/>
      <c r="AG130" s="24">
        <f>+'[2]ENERO 2016'!$O$625</f>
        <v>80000000</v>
      </c>
      <c r="AH130" s="24"/>
      <c r="AI130" s="24"/>
      <c r="AJ130" s="24"/>
      <c r="AK130" s="24"/>
      <c r="AL130" s="24"/>
      <c r="AM130" s="24"/>
      <c r="AN130" s="24"/>
      <c r="AO130" s="24"/>
      <c r="AP130" s="24"/>
      <c r="AQ130" s="24"/>
      <c r="AR130" s="24"/>
      <c r="AS130" s="24"/>
      <c r="AT130" s="24"/>
      <c r="AU130" s="24"/>
      <c r="AV130" s="24"/>
      <c r="AW130" s="25">
        <f t="shared" si="112"/>
        <v>0</v>
      </c>
      <c r="AX130" s="24">
        <f t="shared" si="139"/>
        <v>0</v>
      </c>
      <c r="AY130" s="24">
        <f t="shared" si="151"/>
        <v>0</v>
      </c>
      <c r="AZ130" s="24">
        <f t="shared" si="151"/>
        <v>0</v>
      </c>
      <c r="BA130" s="24">
        <f t="shared" si="151"/>
        <v>0</v>
      </c>
      <c r="BB130" s="24">
        <f t="shared" si="152"/>
        <v>0</v>
      </c>
      <c r="BC130" s="24">
        <f t="shared" si="152"/>
        <v>0</v>
      </c>
      <c r="BD130" s="24">
        <f t="shared" si="152"/>
        <v>0</v>
      </c>
      <c r="BE130" s="24">
        <f t="shared" si="152"/>
        <v>0</v>
      </c>
      <c r="BF130" s="24">
        <f t="shared" si="152"/>
        <v>0</v>
      </c>
      <c r="BG130" s="24">
        <f t="shared" si="152"/>
        <v>0</v>
      </c>
      <c r="BH130" s="24">
        <f t="shared" si="152"/>
        <v>0</v>
      </c>
      <c r="BI130" s="24">
        <f t="shared" si="152"/>
        <v>0</v>
      </c>
      <c r="BJ130" s="24">
        <f t="shared" si="152"/>
        <v>0</v>
      </c>
      <c r="BK130" s="24">
        <f t="shared" si="152"/>
        <v>0</v>
      </c>
      <c r="BL130" s="24">
        <f t="shared" si="152"/>
        <v>0</v>
      </c>
      <c r="BM130" s="24">
        <f t="shared" si="152"/>
        <v>0</v>
      </c>
      <c r="BN130" s="24"/>
      <c r="BO130" s="24"/>
      <c r="BP130" s="24">
        <f t="shared" si="153"/>
        <v>0</v>
      </c>
      <c r="BQ130" s="24">
        <f t="shared" si="154"/>
        <v>0</v>
      </c>
      <c r="BR130" s="25">
        <f t="shared" si="118"/>
        <v>0.97971187500000001</v>
      </c>
      <c r="BS130" s="24">
        <f t="shared" si="144"/>
        <v>78376950</v>
      </c>
      <c r="BT130" s="24"/>
      <c r="BU130" s="24"/>
      <c r="BV130" s="24"/>
      <c r="BW130" s="24"/>
      <c r="BX130" s="24">
        <f>+'[10]MARZO 2016 ULTIMO'!$H$1027</f>
        <v>78376950</v>
      </c>
      <c r="BY130" s="24"/>
      <c r="BZ130" s="24"/>
      <c r="CA130" s="24"/>
      <c r="CB130" s="24"/>
      <c r="CC130" s="24"/>
      <c r="CD130" s="24"/>
      <c r="CE130" s="24"/>
      <c r="CF130" s="24"/>
      <c r="CG130" s="24"/>
      <c r="CH130" s="24"/>
      <c r="CI130" s="24"/>
      <c r="CJ130" s="24"/>
      <c r="CK130" s="24"/>
      <c r="CL130" s="24"/>
      <c r="CM130" s="24"/>
      <c r="CN130" s="25">
        <f t="shared" si="120"/>
        <v>2.028812499999999E-2</v>
      </c>
      <c r="CO130" s="24">
        <f t="shared" si="145"/>
        <v>1623050</v>
      </c>
      <c r="CP130" s="24">
        <f t="shared" si="155"/>
        <v>0</v>
      </c>
      <c r="CQ130" s="24">
        <f t="shared" si="155"/>
        <v>0</v>
      </c>
      <c r="CR130" s="24">
        <f t="shared" si="155"/>
        <v>0</v>
      </c>
      <c r="CS130" s="24">
        <f t="shared" si="155"/>
        <v>1623050</v>
      </c>
      <c r="CT130" s="24">
        <f t="shared" si="155"/>
        <v>0</v>
      </c>
      <c r="CU130" s="24">
        <f t="shared" si="155"/>
        <v>0</v>
      </c>
      <c r="CV130" s="24">
        <f t="shared" si="156"/>
        <v>0</v>
      </c>
      <c r="CW130" s="24">
        <f t="shared" si="156"/>
        <v>0</v>
      </c>
      <c r="CX130" s="24">
        <f t="shared" si="156"/>
        <v>0</v>
      </c>
      <c r="CY130" s="24">
        <f t="shared" si="157"/>
        <v>0</v>
      </c>
      <c r="CZ130" s="24">
        <f t="shared" si="157"/>
        <v>0</v>
      </c>
      <c r="DA130" s="24">
        <f t="shared" si="157"/>
        <v>0</v>
      </c>
      <c r="DB130" s="24">
        <f t="shared" si="158"/>
        <v>0</v>
      </c>
      <c r="DC130" s="24">
        <f t="shared" si="158"/>
        <v>0</v>
      </c>
      <c r="DD130" s="24">
        <f t="shared" si="158"/>
        <v>0</v>
      </c>
      <c r="DE130" s="24"/>
      <c r="DF130" s="24">
        <f t="shared" si="159"/>
        <v>0</v>
      </c>
      <c r="DG130" s="24">
        <f t="shared" si="159"/>
        <v>0</v>
      </c>
      <c r="DH130" s="24">
        <f t="shared" si="159"/>
        <v>0</v>
      </c>
    </row>
    <row r="131" spans="1:112" ht="35.25" customHeight="1" x14ac:dyDescent="0.25">
      <c r="A131" s="238"/>
      <c r="B131" s="88" t="s">
        <v>363</v>
      </c>
      <c r="C131" s="69" t="s">
        <v>364</v>
      </c>
      <c r="D131" s="21" t="s">
        <v>365</v>
      </c>
      <c r="E131" s="94">
        <v>510</v>
      </c>
      <c r="F131" s="23" t="s">
        <v>366</v>
      </c>
      <c r="G131" s="24">
        <f t="shared" si="137"/>
        <v>110000000</v>
      </c>
      <c r="H131" s="24"/>
      <c r="I131" s="24"/>
      <c r="J131" s="24"/>
      <c r="K131" s="24">
        <v>110000000</v>
      </c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5">
        <f t="shared" si="110"/>
        <v>1</v>
      </c>
      <c r="AB131" s="24">
        <f t="shared" si="138"/>
        <v>110000000</v>
      </c>
      <c r="AC131" s="24"/>
      <c r="AD131" s="24"/>
      <c r="AE131" s="24"/>
      <c r="AF131" s="24"/>
      <c r="AG131" s="24">
        <f>+'[5]JULIO 2016'!$O$1895</f>
        <v>110000000</v>
      </c>
      <c r="AH131" s="24"/>
      <c r="AI131" s="24"/>
      <c r="AJ131" s="24"/>
      <c r="AK131" s="24"/>
      <c r="AL131" s="24"/>
      <c r="AM131" s="24"/>
      <c r="AN131" s="24"/>
      <c r="AO131" s="24"/>
      <c r="AP131" s="24"/>
      <c r="AQ131" s="24"/>
      <c r="AR131" s="24"/>
      <c r="AS131" s="24"/>
      <c r="AT131" s="24"/>
      <c r="AU131" s="24"/>
      <c r="AV131" s="24"/>
      <c r="AW131" s="25">
        <f t="shared" si="112"/>
        <v>0</v>
      </c>
      <c r="AX131" s="24">
        <f t="shared" si="139"/>
        <v>0</v>
      </c>
      <c r="AY131" s="24">
        <f t="shared" si="151"/>
        <v>0</v>
      </c>
      <c r="AZ131" s="24">
        <f t="shared" si="151"/>
        <v>0</v>
      </c>
      <c r="BA131" s="24">
        <f t="shared" si="151"/>
        <v>0</v>
      </c>
      <c r="BB131" s="24">
        <f t="shared" si="152"/>
        <v>0</v>
      </c>
      <c r="BC131" s="24">
        <f t="shared" si="152"/>
        <v>0</v>
      </c>
      <c r="BD131" s="24">
        <f t="shared" si="152"/>
        <v>0</v>
      </c>
      <c r="BE131" s="24">
        <f t="shared" si="152"/>
        <v>0</v>
      </c>
      <c r="BF131" s="24">
        <f t="shared" si="152"/>
        <v>0</v>
      </c>
      <c r="BG131" s="24">
        <f t="shared" si="152"/>
        <v>0</v>
      </c>
      <c r="BH131" s="24">
        <f t="shared" si="152"/>
        <v>0</v>
      </c>
      <c r="BI131" s="24">
        <f t="shared" si="152"/>
        <v>0</v>
      </c>
      <c r="BJ131" s="24">
        <f t="shared" si="152"/>
        <v>0</v>
      </c>
      <c r="BK131" s="24">
        <f t="shared" si="152"/>
        <v>0</v>
      </c>
      <c r="BL131" s="24">
        <f t="shared" si="152"/>
        <v>0</v>
      </c>
      <c r="BM131" s="24">
        <f t="shared" si="152"/>
        <v>0</v>
      </c>
      <c r="BN131" s="24"/>
      <c r="BO131" s="24"/>
      <c r="BP131" s="24">
        <f t="shared" si="153"/>
        <v>0</v>
      </c>
      <c r="BQ131" s="24">
        <f t="shared" si="154"/>
        <v>0</v>
      </c>
      <c r="BR131" s="25">
        <f t="shared" si="118"/>
        <v>0.97727465454545459</v>
      </c>
      <c r="BS131" s="24">
        <f t="shared" si="144"/>
        <v>107500212</v>
      </c>
      <c r="BT131" s="24"/>
      <c r="BU131" s="24"/>
      <c r="BV131" s="24"/>
      <c r="BW131" s="24"/>
      <c r="BX131" s="24">
        <f>+'[1]SEPTIEMBRE 2016'!$H$2935</f>
        <v>107500212</v>
      </c>
      <c r="BY131" s="24"/>
      <c r="BZ131" s="24"/>
      <c r="CA131" s="24"/>
      <c r="CB131" s="24"/>
      <c r="CC131" s="24"/>
      <c r="CD131" s="24"/>
      <c r="CE131" s="24"/>
      <c r="CF131" s="24"/>
      <c r="CG131" s="24"/>
      <c r="CH131" s="24"/>
      <c r="CI131" s="24"/>
      <c r="CJ131" s="24"/>
      <c r="CK131" s="24"/>
      <c r="CL131" s="24"/>
      <c r="CM131" s="24"/>
      <c r="CN131" s="25">
        <f t="shared" si="120"/>
        <v>2.2725345454545409E-2</v>
      </c>
      <c r="CO131" s="24">
        <f t="shared" si="145"/>
        <v>2499788</v>
      </c>
      <c r="CP131" s="24">
        <f t="shared" si="155"/>
        <v>0</v>
      </c>
      <c r="CQ131" s="24">
        <f t="shared" si="155"/>
        <v>0</v>
      </c>
      <c r="CR131" s="24">
        <f t="shared" si="155"/>
        <v>0</v>
      </c>
      <c r="CS131" s="24">
        <f t="shared" si="155"/>
        <v>2499788</v>
      </c>
      <c r="CT131" s="24">
        <f t="shared" si="155"/>
        <v>0</v>
      </c>
      <c r="CU131" s="24">
        <f t="shared" si="155"/>
        <v>0</v>
      </c>
      <c r="CV131" s="24">
        <f t="shared" si="156"/>
        <v>0</v>
      </c>
      <c r="CW131" s="24">
        <f t="shared" si="156"/>
        <v>0</v>
      </c>
      <c r="CX131" s="24">
        <f t="shared" si="156"/>
        <v>0</v>
      </c>
      <c r="CY131" s="24">
        <f t="shared" si="157"/>
        <v>0</v>
      </c>
      <c r="CZ131" s="24">
        <f t="shared" si="157"/>
        <v>0</v>
      </c>
      <c r="DA131" s="24">
        <f t="shared" si="157"/>
        <v>0</v>
      </c>
      <c r="DB131" s="24">
        <f t="shared" si="158"/>
        <v>0</v>
      </c>
      <c r="DC131" s="24">
        <f t="shared" si="158"/>
        <v>0</v>
      </c>
      <c r="DD131" s="24">
        <f t="shared" si="158"/>
        <v>0</v>
      </c>
      <c r="DE131" s="24"/>
      <c r="DF131" s="24">
        <f t="shared" si="159"/>
        <v>0</v>
      </c>
      <c r="DG131" s="24">
        <f t="shared" si="159"/>
        <v>0</v>
      </c>
      <c r="DH131" s="24">
        <f t="shared" si="159"/>
        <v>0</v>
      </c>
    </row>
    <row r="132" spans="1:112" ht="41.25" customHeight="1" x14ac:dyDescent="0.25">
      <c r="A132" s="239"/>
      <c r="B132" s="88" t="s">
        <v>367</v>
      </c>
      <c r="C132" s="69" t="s">
        <v>368</v>
      </c>
      <c r="D132" s="21" t="s">
        <v>369</v>
      </c>
      <c r="E132" s="94">
        <v>310</v>
      </c>
      <c r="F132" s="23" t="s">
        <v>370</v>
      </c>
      <c r="G132" s="24">
        <f t="shared" si="137"/>
        <v>275146880</v>
      </c>
      <c r="H132" s="24"/>
      <c r="I132" s="24"/>
      <c r="J132" s="24"/>
      <c r="K132" s="24">
        <v>243168096</v>
      </c>
      <c r="L132" s="24"/>
      <c r="M132" s="24"/>
      <c r="N132" s="24"/>
      <c r="O132" s="24"/>
      <c r="P132" s="24"/>
      <c r="Q132" s="24"/>
      <c r="R132" s="24">
        <v>4978784</v>
      </c>
      <c r="S132" s="24"/>
      <c r="T132" s="24"/>
      <c r="U132" s="24"/>
      <c r="V132" s="24"/>
      <c r="W132" s="24"/>
      <c r="X132" s="24"/>
      <c r="Y132" s="24"/>
      <c r="Z132" s="24">
        <f>25000000+2000000</f>
        <v>27000000</v>
      </c>
      <c r="AA132" s="25">
        <f t="shared" si="110"/>
        <v>0.54436535496968019</v>
      </c>
      <c r="AB132" s="24">
        <f t="shared" si="138"/>
        <v>149780429</v>
      </c>
      <c r="AC132" s="24"/>
      <c r="AD132" s="24"/>
      <c r="AE132" s="24"/>
      <c r="AF132" s="24"/>
      <c r="AG132" s="24">
        <f>+'[5]JULIO 2016'!$O$477</f>
        <v>145193691</v>
      </c>
      <c r="AH132" s="24"/>
      <c r="AI132" s="24"/>
      <c r="AJ132" s="24"/>
      <c r="AK132" s="24"/>
      <c r="AL132" s="24"/>
      <c r="AM132" s="24"/>
      <c r="AN132" s="24"/>
      <c r="AO132" s="24"/>
      <c r="AP132" s="24"/>
      <c r="AQ132" s="24"/>
      <c r="AR132" s="24"/>
      <c r="AS132" s="24"/>
      <c r="AT132" s="24"/>
      <c r="AU132" s="24"/>
      <c r="AV132" s="24">
        <f>+'[4]AGOSTO 2016'!$AG$556</f>
        <v>4586738</v>
      </c>
      <c r="AW132" s="25">
        <f t="shared" si="112"/>
        <v>0.45563464503031981</v>
      </c>
      <c r="AX132" s="24">
        <f t="shared" si="139"/>
        <v>125366451</v>
      </c>
      <c r="AY132" s="24">
        <f t="shared" si="151"/>
        <v>0</v>
      </c>
      <c r="AZ132" s="24">
        <f t="shared" si="151"/>
        <v>0</v>
      </c>
      <c r="BA132" s="24">
        <f t="shared" si="151"/>
        <v>0</v>
      </c>
      <c r="BB132" s="24">
        <f t="shared" si="152"/>
        <v>97974405</v>
      </c>
      <c r="BC132" s="24">
        <f t="shared" si="152"/>
        <v>0</v>
      </c>
      <c r="BD132" s="24">
        <f t="shared" si="152"/>
        <v>0</v>
      </c>
      <c r="BE132" s="24">
        <f t="shared" si="152"/>
        <v>0</v>
      </c>
      <c r="BF132" s="24">
        <f t="shared" si="152"/>
        <v>0</v>
      </c>
      <c r="BG132" s="24">
        <f t="shared" si="152"/>
        <v>0</v>
      </c>
      <c r="BH132" s="24">
        <f t="shared" si="152"/>
        <v>0</v>
      </c>
      <c r="BI132" s="24">
        <f t="shared" si="152"/>
        <v>4978784</v>
      </c>
      <c r="BJ132" s="24">
        <f t="shared" si="152"/>
        <v>0</v>
      </c>
      <c r="BK132" s="24">
        <f t="shared" si="152"/>
        <v>0</v>
      </c>
      <c r="BL132" s="24">
        <f t="shared" si="152"/>
        <v>0</v>
      </c>
      <c r="BM132" s="24">
        <f t="shared" si="152"/>
        <v>0</v>
      </c>
      <c r="BN132" s="24"/>
      <c r="BO132" s="24"/>
      <c r="BP132" s="24">
        <f t="shared" si="153"/>
        <v>0</v>
      </c>
      <c r="BQ132" s="24">
        <f t="shared" si="154"/>
        <v>22413262</v>
      </c>
      <c r="BR132" s="25">
        <f t="shared" si="118"/>
        <v>0.34381930480185713</v>
      </c>
      <c r="BS132" s="24">
        <f t="shared" si="144"/>
        <v>94600809</v>
      </c>
      <c r="BT132" s="24"/>
      <c r="BU132" s="24"/>
      <c r="BV132" s="24"/>
      <c r="BW132" s="24"/>
      <c r="BX132" s="24">
        <f>+'[1]SEPTIEMBRE 2016'!$H$680+'[1]SEPTIEMBRE 2016'!$H$684+'[1]SEPTIEMBRE 2016'!$H$686+'[1]SEPTIEMBRE 2016'!$H$688+'[1]SEPTIEMBRE 2016'!$H$689+'[1]SEPTIEMBRE 2016'!$H$735+'[1]SEPTIEMBRE 2016'!$H$736+'[1]SEPTIEMBRE 2016'!$H$739+'[1]SEPTIEMBRE 2016'!$H$740+'[1]SEPTIEMBRE 2016'!$H$747+'[1]SEPTIEMBRE 2016'!$H$748</f>
        <v>90014071</v>
      </c>
      <c r="BY132" s="24"/>
      <c r="BZ132" s="24"/>
      <c r="CA132" s="24"/>
      <c r="CB132" s="24"/>
      <c r="CC132" s="24"/>
      <c r="CD132" s="24"/>
      <c r="CE132" s="24"/>
      <c r="CF132" s="24"/>
      <c r="CG132" s="24"/>
      <c r="CH132" s="24"/>
      <c r="CI132" s="24"/>
      <c r="CJ132" s="24"/>
      <c r="CK132" s="24"/>
      <c r="CL132" s="24"/>
      <c r="CM132" s="24">
        <f>'[4]AGOSTO 2016'!$AG$606+'[4]AGOSTO 2016'!$H$615+'[4]AGOSTO 2016'!$H$616</f>
        <v>4586738</v>
      </c>
      <c r="CN132" s="25">
        <f t="shared" si="120"/>
        <v>0.65618069519814282</v>
      </c>
      <c r="CO132" s="24">
        <f t="shared" si="145"/>
        <v>180546071</v>
      </c>
      <c r="CP132" s="24">
        <f t="shared" si="155"/>
        <v>0</v>
      </c>
      <c r="CQ132" s="24">
        <f t="shared" si="155"/>
        <v>0</v>
      </c>
      <c r="CR132" s="24">
        <f t="shared" si="155"/>
        <v>0</v>
      </c>
      <c r="CS132" s="24">
        <f t="shared" si="155"/>
        <v>153154025</v>
      </c>
      <c r="CT132" s="24">
        <f t="shared" si="155"/>
        <v>0</v>
      </c>
      <c r="CU132" s="24">
        <f t="shared" si="155"/>
        <v>0</v>
      </c>
      <c r="CV132" s="24">
        <f t="shared" si="156"/>
        <v>0</v>
      </c>
      <c r="CW132" s="24">
        <f t="shared" si="156"/>
        <v>0</v>
      </c>
      <c r="CX132" s="24">
        <f t="shared" si="156"/>
        <v>0</v>
      </c>
      <c r="CY132" s="24">
        <f t="shared" si="157"/>
        <v>0</v>
      </c>
      <c r="CZ132" s="24">
        <f t="shared" si="157"/>
        <v>4978784</v>
      </c>
      <c r="DA132" s="24">
        <f t="shared" si="157"/>
        <v>0</v>
      </c>
      <c r="DB132" s="24">
        <f t="shared" si="158"/>
        <v>0</v>
      </c>
      <c r="DC132" s="24">
        <f t="shared" si="158"/>
        <v>0</v>
      </c>
      <c r="DD132" s="24">
        <f t="shared" si="158"/>
        <v>0</v>
      </c>
      <c r="DE132" s="24"/>
      <c r="DF132" s="24">
        <f t="shared" si="159"/>
        <v>0</v>
      </c>
      <c r="DG132" s="24">
        <f t="shared" si="159"/>
        <v>0</v>
      </c>
      <c r="DH132" s="24">
        <f t="shared" si="159"/>
        <v>22413262</v>
      </c>
    </row>
    <row r="133" spans="1:112" s="43" customFormat="1" ht="18.75" customHeight="1" thickBot="1" x14ac:dyDescent="0.3">
      <c r="A133" s="97"/>
      <c r="B133" s="252" t="s">
        <v>371</v>
      </c>
      <c r="C133" s="253"/>
      <c r="D133" s="254"/>
      <c r="E133" s="98"/>
      <c r="F133" s="99"/>
      <c r="G133" s="61">
        <f t="shared" ref="G133:Z133" si="160">SUM(G114:G132)</f>
        <v>12803395182</v>
      </c>
      <c r="H133" s="61">
        <f t="shared" si="160"/>
        <v>0</v>
      </c>
      <c r="I133" s="61">
        <f t="shared" si="160"/>
        <v>7357828308</v>
      </c>
      <c r="J133" s="61">
        <f t="shared" si="160"/>
        <v>171003327</v>
      </c>
      <c r="K133" s="61">
        <f t="shared" si="160"/>
        <v>630168096</v>
      </c>
      <c r="L133" s="61">
        <f t="shared" si="160"/>
        <v>0</v>
      </c>
      <c r="M133" s="61">
        <f t="shared" si="160"/>
        <v>54387</v>
      </c>
      <c r="N133" s="61">
        <f t="shared" si="160"/>
        <v>30665828</v>
      </c>
      <c r="O133" s="61">
        <f t="shared" si="160"/>
        <v>1940856</v>
      </c>
      <c r="P133" s="61">
        <f t="shared" si="160"/>
        <v>3438802</v>
      </c>
      <c r="Q133" s="61">
        <f t="shared" si="160"/>
        <v>345941457</v>
      </c>
      <c r="R133" s="61">
        <f t="shared" si="160"/>
        <v>4978784</v>
      </c>
      <c r="S133" s="61">
        <f t="shared" si="160"/>
        <v>390000000</v>
      </c>
      <c r="T133" s="61">
        <f t="shared" si="160"/>
        <v>485000000</v>
      </c>
      <c r="U133" s="61">
        <f t="shared" si="160"/>
        <v>6000000</v>
      </c>
      <c r="V133" s="61">
        <f t="shared" si="160"/>
        <v>0</v>
      </c>
      <c r="W133" s="61">
        <f t="shared" si="160"/>
        <v>0</v>
      </c>
      <c r="X133" s="61">
        <f t="shared" si="160"/>
        <v>2700000000</v>
      </c>
      <c r="Y133" s="61">
        <f t="shared" si="160"/>
        <v>0</v>
      </c>
      <c r="Z133" s="61">
        <f t="shared" si="160"/>
        <v>676375337</v>
      </c>
      <c r="AA133" s="39">
        <f t="shared" si="110"/>
        <v>0.68109361712584526</v>
      </c>
      <c r="AB133" s="61">
        <f>SUM(AB114:AB132)</f>
        <v>8720310736</v>
      </c>
      <c r="AC133" s="61"/>
      <c r="AD133" s="61">
        <f t="shared" ref="AD133:AV133" si="161">SUM(AD114:AD132)</f>
        <v>0</v>
      </c>
      <c r="AE133" s="61">
        <f t="shared" si="161"/>
        <v>4602133245</v>
      </c>
      <c r="AF133" s="61">
        <f t="shared" si="161"/>
        <v>147809410</v>
      </c>
      <c r="AG133" s="61">
        <f t="shared" si="161"/>
        <v>525161691</v>
      </c>
      <c r="AH133" s="61">
        <f t="shared" si="161"/>
        <v>0</v>
      </c>
      <c r="AI133" s="61">
        <f t="shared" si="161"/>
        <v>0</v>
      </c>
      <c r="AJ133" s="61">
        <f t="shared" si="161"/>
        <v>0</v>
      </c>
      <c r="AK133" s="61">
        <f t="shared" si="161"/>
        <v>0</v>
      </c>
      <c r="AL133" s="61">
        <f t="shared" si="161"/>
        <v>300000</v>
      </c>
      <c r="AM133" s="61">
        <f t="shared" si="161"/>
        <v>164856575</v>
      </c>
      <c r="AN133" s="61">
        <f t="shared" si="161"/>
        <v>0</v>
      </c>
      <c r="AO133" s="61">
        <f t="shared" si="161"/>
        <v>250000000</v>
      </c>
      <c r="AP133" s="61">
        <f t="shared" si="161"/>
        <v>451915027</v>
      </c>
      <c r="AQ133" s="61">
        <f t="shared" si="161"/>
        <v>0</v>
      </c>
      <c r="AR133" s="61">
        <f t="shared" si="161"/>
        <v>0</v>
      </c>
      <c r="AS133" s="61">
        <f t="shared" si="161"/>
        <v>0</v>
      </c>
      <c r="AT133" s="61">
        <f t="shared" si="161"/>
        <v>2399143215</v>
      </c>
      <c r="AU133" s="61">
        <f t="shared" si="161"/>
        <v>0</v>
      </c>
      <c r="AV133" s="61">
        <f t="shared" si="161"/>
        <v>178991573</v>
      </c>
      <c r="AW133" s="39">
        <f t="shared" si="112"/>
        <v>0.31890638287415474</v>
      </c>
      <c r="AX133" s="61">
        <f>SUM(AX114:AX132)</f>
        <v>4083084446</v>
      </c>
      <c r="AY133" s="61">
        <f t="shared" ref="AY133:BQ133" si="162">SUM(AY114:AY132)</f>
        <v>0</v>
      </c>
      <c r="AZ133" s="61">
        <f t="shared" si="162"/>
        <v>2755695063</v>
      </c>
      <c r="BA133" s="61">
        <f t="shared" si="162"/>
        <v>23193917</v>
      </c>
      <c r="BB133" s="61">
        <f t="shared" si="162"/>
        <v>105006405</v>
      </c>
      <c r="BC133" s="61">
        <f t="shared" si="162"/>
        <v>0</v>
      </c>
      <c r="BD133" s="61">
        <f t="shared" si="162"/>
        <v>54387</v>
      </c>
      <c r="BE133" s="61">
        <f t="shared" si="162"/>
        <v>30665828</v>
      </c>
      <c r="BF133" s="61">
        <f t="shared" si="162"/>
        <v>1940856</v>
      </c>
      <c r="BG133" s="61">
        <f t="shared" si="162"/>
        <v>3138802</v>
      </c>
      <c r="BH133" s="61">
        <f t="shared" si="162"/>
        <v>181084882</v>
      </c>
      <c r="BI133" s="61">
        <f t="shared" si="162"/>
        <v>4978784</v>
      </c>
      <c r="BJ133" s="61">
        <f t="shared" si="162"/>
        <v>140000000</v>
      </c>
      <c r="BK133" s="61">
        <f t="shared" si="162"/>
        <v>33084973</v>
      </c>
      <c r="BL133" s="61">
        <f t="shared" si="162"/>
        <v>6000000</v>
      </c>
      <c r="BM133" s="61">
        <f t="shared" si="162"/>
        <v>0</v>
      </c>
      <c r="BN133" s="61">
        <f t="shared" si="162"/>
        <v>0</v>
      </c>
      <c r="BO133" s="61">
        <f t="shared" si="162"/>
        <v>300856785</v>
      </c>
      <c r="BP133" s="61">
        <f t="shared" si="162"/>
        <v>0</v>
      </c>
      <c r="BQ133" s="61">
        <f t="shared" si="162"/>
        <v>497383764</v>
      </c>
      <c r="BR133" s="39">
        <f t="shared" si="118"/>
        <v>0.45602872605295486</v>
      </c>
      <c r="BS133" s="61">
        <f t="shared" ref="BS133:CI133" si="163">SUM(BS114:BS132)</f>
        <v>5838715994</v>
      </c>
      <c r="BT133" s="61">
        <f t="shared" si="163"/>
        <v>0</v>
      </c>
      <c r="BU133" s="61">
        <f t="shared" si="163"/>
        <v>0</v>
      </c>
      <c r="BV133" s="61">
        <f t="shared" si="163"/>
        <v>3818217810</v>
      </c>
      <c r="BW133" s="61">
        <f t="shared" si="163"/>
        <v>147809402</v>
      </c>
      <c r="BX133" s="61">
        <f t="shared" si="163"/>
        <v>459092511</v>
      </c>
      <c r="BY133" s="61">
        <f t="shared" si="163"/>
        <v>0</v>
      </c>
      <c r="BZ133" s="61">
        <f t="shared" si="163"/>
        <v>0</v>
      </c>
      <c r="CA133" s="61">
        <f t="shared" si="163"/>
        <v>0</v>
      </c>
      <c r="CB133" s="61">
        <f t="shared" si="163"/>
        <v>0</v>
      </c>
      <c r="CC133" s="61">
        <f t="shared" si="163"/>
        <v>300000</v>
      </c>
      <c r="CD133" s="61">
        <f t="shared" si="163"/>
        <v>130112725</v>
      </c>
      <c r="CE133" s="61">
        <f t="shared" si="163"/>
        <v>0</v>
      </c>
      <c r="CF133" s="61">
        <f t="shared" si="163"/>
        <v>249680327</v>
      </c>
      <c r="CG133" s="61">
        <f t="shared" si="163"/>
        <v>451915027</v>
      </c>
      <c r="CH133" s="61">
        <f t="shared" si="163"/>
        <v>0</v>
      </c>
      <c r="CI133" s="61">
        <f t="shared" si="163"/>
        <v>0</v>
      </c>
      <c r="CJ133" s="61"/>
      <c r="CK133" s="61">
        <f>SUM(CK114:CK132)</f>
        <v>429051059</v>
      </c>
      <c r="CL133" s="61">
        <f>SUM(CL114:CL132)</f>
        <v>0</v>
      </c>
      <c r="CM133" s="61">
        <f>SUM(CM114:CM132)</f>
        <v>152537133</v>
      </c>
      <c r="CN133" s="39">
        <f t="shared" si="120"/>
        <v>0.54397127394704514</v>
      </c>
      <c r="CO133" s="61">
        <f t="shared" ref="CO133:DH133" si="164">SUM(CO114:CO132)</f>
        <v>6964679188</v>
      </c>
      <c r="CP133" s="61">
        <f t="shared" si="164"/>
        <v>0</v>
      </c>
      <c r="CQ133" s="61">
        <f t="shared" si="164"/>
        <v>3539610498</v>
      </c>
      <c r="CR133" s="61">
        <f t="shared" si="164"/>
        <v>23193925</v>
      </c>
      <c r="CS133" s="61">
        <f t="shared" si="164"/>
        <v>171075585</v>
      </c>
      <c r="CT133" s="61">
        <f t="shared" si="164"/>
        <v>0</v>
      </c>
      <c r="CU133" s="61">
        <f t="shared" si="164"/>
        <v>54387</v>
      </c>
      <c r="CV133" s="61">
        <f t="shared" si="164"/>
        <v>30665828</v>
      </c>
      <c r="CW133" s="61">
        <f t="shared" si="164"/>
        <v>1940856</v>
      </c>
      <c r="CX133" s="61">
        <f t="shared" si="164"/>
        <v>3138802</v>
      </c>
      <c r="CY133" s="61">
        <f t="shared" si="164"/>
        <v>215828732</v>
      </c>
      <c r="CZ133" s="61">
        <f t="shared" si="164"/>
        <v>4978784</v>
      </c>
      <c r="DA133" s="61">
        <f t="shared" si="164"/>
        <v>140319673</v>
      </c>
      <c r="DB133" s="61">
        <f t="shared" si="164"/>
        <v>33084973</v>
      </c>
      <c r="DC133" s="61">
        <f t="shared" si="164"/>
        <v>6000000</v>
      </c>
      <c r="DD133" s="61">
        <f t="shared" si="164"/>
        <v>0</v>
      </c>
      <c r="DE133" s="61">
        <f t="shared" si="164"/>
        <v>0</v>
      </c>
      <c r="DF133" s="61">
        <f t="shared" si="164"/>
        <v>2270948941</v>
      </c>
      <c r="DG133" s="61">
        <f t="shared" si="164"/>
        <v>0</v>
      </c>
      <c r="DH133" s="61">
        <f t="shared" si="164"/>
        <v>523838204</v>
      </c>
    </row>
    <row r="134" spans="1:112" ht="5.25" customHeight="1" thickTop="1" x14ac:dyDescent="0.25">
      <c r="C134" s="100"/>
      <c r="D134" s="100"/>
      <c r="E134" s="100"/>
      <c r="F134" s="100"/>
      <c r="G134" s="101"/>
      <c r="H134" s="101"/>
      <c r="I134" s="102"/>
      <c r="J134" s="101"/>
      <c r="K134" s="103"/>
      <c r="L134" s="103"/>
      <c r="M134" s="103"/>
      <c r="N134" s="103"/>
      <c r="O134" s="103"/>
      <c r="P134" s="103"/>
      <c r="Q134" s="103"/>
      <c r="R134" s="103"/>
      <c r="S134" s="103"/>
      <c r="T134" s="103"/>
      <c r="U134" s="103"/>
      <c r="V134" s="103"/>
      <c r="W134" s="103"/>
      <c r="X134" s="103"/>
      <c r="Y134" s="103"/>
      <c r="Z134" s="103"/>
      <c r="AA134" s="104"/>
      <c r="AB134" s="47"/>
      <c r="AC134" s="47"/>
      <c r="AD134" s="47"/>
      <c r="AE134" s="47"/>
      <c r="AF134" s="47"/>
      <c r="AG134" s="47"/>
      <c r="AH134" s="47"/>
      <c r="AI134" s="47"/>
      <c r="AJ134" s="47"/>
      <c r="AK134" s="47"/>
      <c r="AL134" s="47"/>
      <c r="AM134" s="47"/>
      <c r="AN134" s="47"/>
      <c r="AO134" s="47"/>
      <c r="AP134" s="47"/>
      <c r="AQ134" s="47"/>
      <c r="AR134" s="47"/>
      <c r="AS134" s="47"/>
      <c r="AT134" s="47"/>
      <c r="AU134" s="47"/>
      <c r="AV134" s="47"/>
      <c r="AW134" s="104"/>
      <c r="AX134" s="47"/>
      <c r="AY134" s="47"/>
      <c r="AZ134" s="47"/>
      <c r="BA134" s="47"/>
      <c r="BB134" s="47"/>
      <c r="BC134" s="47"/>
      <c r="BD134" s="47"/>
      <c r="BE134" s="47"/>
      <c r="BF134" s="47"/>
      <c r="BG134" s="47"/>
      <c r="BH134" s="47"/>
      <c r="BI134" s="47"/>
      <c r="BJ134" s="47"/>
      <c r="BK134" s="47"/>
      <c r="BL134" s="47"/>
      <c r="BM134" s="47"/>
      <c r="BN134" s="47"/>
      <c r="BO134" s="47"/>
      <c r="BP134" s="47"/>
      <c r="BQ134" s="47"/>
      <c r="BR134" s="104"/>
      <c r="BS134" s="105"/>
      <c r="BT134" s="47"/>
      <c r="BU134" s="47"/>
      <c r="BV134" s="47"/>
      <c r="BW134" s="47"/>
      <c r="BX134" s="47"/>
      <c r="BY134" s="47"/>
      <c r="BZ134" s="47"/>
      <c r="CA134" s="47"/>
      <c r="CB134" s="47"/>
      <c r="CC134" s="47"/>
      <c r="CD134" s="47"/>
      <c r="CE134" s="47"/>
      <c r="CF134" s="47"/>
      <c r="CG134" s="47"/>
      <c r="CH134" s="47"/>
      <c r="CI134" s="47"/>
      <c r="CJ134" s="47"/>
      <c r="CK134" s="47"/>
      <c r="CL134" s="47"/>
      <c r="CM134" s="47"/>
      <c r="CN134" s="104"/>
      <c r="CO134" s="47"/>
      <c r="CP134" s="47"/>
      <c r="CQ134" s="47"/>
      <c r="CR134" s="47"/>
      <c r="CS134" s="47"/>
      <c r="CT134" s="47"/>
      <c r="CU134" s="47"/>
      <c r="CV134" s="47"/>
      <c r="CW134" s="47"/>
      <c r="CX134" s="47"/>
      <c r="CY134" s="47"/>
      <c r="CZ134" s="47"/>
      <c r="DA134" s="47"/>
      <c r="DB134" s="47"/>
      <c r="DC134" s="47"/>
      <c r="DD134" s="47"/>
      <c r="DE134" s="47"/>
      <c r="DF134" s="47"/>
      <c r="DG134" s="47"/>
      <c r="DH134" s="47"/>
    </row>
    <row r="135" spans="1:112" ht="19.5" customHeight="1" x14ac:dyDescent="0.25">
      <c r="C135" s="255" t="s">
        <v>372</v>
      </c>
      <c r="D135" s="256"/>
      <c r="E135" s="257"/>
      <c r="F135" s="106"/>
      <c r="G135" s="47">
        <f t="shared" ref="G135:Z135" si="165">G20+G60+G93+G113+G133</f>
        <v>24962031699</v>
      </c>
      <c r="H135" s="47">
        <f t="shared" si="165"/>
        <v>200000000</v>
      </c>
      <c r="I135" s="47">
        <f t="shared" si="165"/>
        <v>10524093099</v>
      </c>
      <c r="J135" s="47">
        <f t="shared" si="165"/>
        <v>171003327</v>
      </c>
      <c r="K135" s="47">
        <f t="shared" si="165"/>
        <v>2601016897</v>
      </c>
      <c r="L135" s="47">
        <f t="shared" si="165"/>
        <v>138372986</v>
      </c>
      <c r="M135" s="47">
        <f t="shared" si="165"/>
        <v>54387</v>
      </c>
      <c r="N135" s="47">
        <f t="shared" si="165"/>
        <v>30665828</v>
      </c>
      <c r="O135" s="47">
        <f t="shared" si="165"/>
        <v>1940856</v>
      </c>
      <c r="P135" s="47">
        <f t="shared" si="165"/>
        <v>3438802</v>
      </c>
      <c r="Q135" s="47">
        <f t="shared" si="165"/>
        <v>345941457</v>
      </c>
      <c r="R135" s="47">
        <f t="shared" si="165"/>
        <v>2094582849</v>
      </c>
      <c r="S135" s="47">
        <f t="shared" si="165"/>
        <v>1142029623</v>
      </c>
      <c r="T135" s="47">
        <f t="shared" si="165"/>
        <v>486796640</v>
      </c>
      <c r="U135" s="47">
        <f t="shared" si="165"/>
        <v>1306076765</v>
      </c>
      <c r="V135" s="47">
        <f t="shared" si="165"/>
        <v>1262551657</v>
      </c>
      <c r="W135" s="47">
        <f t="shared" si="165"/>
        <v>51295383</v>
      </c>
      <c r="X135" s="47">
        <f t="shared" si="165"/>
        <v>2700000000</v>
      </c>
      <c r="Y135" s="47">
        <f t="shared" si="165"/>
        <v>204741836</v>
      </c>
      <c r="Z135" s="47">
        <f t="shared" si="165"/>
        <v>1697429307</v>
      </c>
      <c r="AA135" s="107">
        <f>+AB135/G135</f>
        <v>0.75848075650663005</v>
      </c>
      <c r="AB135" s="47">
        <f>AB20+AB60+AB93+AB113+AB133</f>
        <v>18933220687</v>
      </c>
      <c r="AC135" s="47"/>
      <c r="AD135" s="47">
        <f t="shared" ref="AD135:AV135" si="166">AD20+AD60+AD93+AD113+AD133</f>
        <v>198408143</v>
      </c>
      <c r="AE135" s="47">
        <f t="shared" si="166"/>
        <v>6912103504</v>
      </c>
      <c r="AF135" s="47">
        <f t="shared" si="166"/>
        <v>147809410</v>
      </c>
      <c r="AG135" s="47">
        <f t="shared" si="166"/>
        <v>2318994702</v>
      </c>
      <c r="AH135" s="47">
        <f t="shared" si="166"/>
        <v>106863498</v>
      </c>
      <c r="AI135" s="47">
        <f t="shared" si="166"/>
        <v>0</v>
      </c>
      <c r="AJ135" s="47">
        <f t="shared" si="166"/>
        <v>0</v>
      </c>
      <c r="AK135" s="47">
        <f t="shared" si="166"/>
        <v>0</v>
      </c>
      <c r="AL135" s="47">
        <f t="shared" si="166"/>
        <v>300000</v>
      </c>
      <c r="AM135" s="47">
        <f t="shared" si="166"/>
        <v>164856575</v>
      </c>
      <c r="AN135" s="47">
        <f t="shared" si="166"/>
        <v>1974981668</v>
      </c>
      <c r="AO135" s="47">
        <f t="shared" si="166"/>
        <v>885432962</v>
      </c>
      <c r="AP135" s="47">
        <f t="shared" si="166"/>
        <v>453711667</v>
      </c>
      <c r="AQ135" s="47">
        <f t="shared" si="166"/>
        <v>1060918457</v>
      </c>
      <c r="AR135" s="47">
        <f t="shared" si="166"/>
        <v>1158469451</v>
      </c>
      <c r="AS135" s="47">
        <f t="shared" si="166"/>
        <v>51295383</v>
      </c>
      <c r="AT135" s="47">
        <f t="shared" si="166"/>
        <v>2399143215</v>
      </c>
      <c r="AU135" s="47">
        <f t="shared" si="166"/>
        <v>114321836</v>
      </c>
      <c r="AV135" s="47">
        <f t="shared" si="166"/>
        <v>985610216</v>
      </c>
      <c r="AW135" s="108">
        <f>1-AA135</f>
        <v>0.24151924349336995</v>
      </c>
      <c r="AX135" s="47">
        <f t="shared" ref="AX135:BQ135" si="167">AX20+AX60+AX93+AX113+AX133</f>
        <v>6028811012</v>
      </c>
      <c r="AY135" s="47">
        <f t="shared" si="167"/>
        <v>1591857</v>
      </c>
      <c r="AZ135" s="47">
        <f t="shared" si="167"/>
        <v>3611989595</v>
      </c>
      <c r="BA135" s="47">
        <f t="shared" si="167"/>
        <v>23193917</v>
      </c>
      <c r="BB135" s="47">
        <f t="shared" si="167"/>
        <v>282022195</v>
      </c>
      <c r="BC135" s="47">
        <f t="shared" si="167"/>
        <v>31509488</v>
      </c>
      <c r="BD135" s="47">
        <f t="shared" si="167"/>
        <v>54387</v>
      </c>
      <c r="BE135" s="47">
        <f t="shared" si="167"/>
        <v>30665828</v>
      </c>
      <c r="BF135" s="47">
        <f t="shared" si="167"/>
        <v>1940856</v>
      </c>
      <c r="BG135" s="47">
        <f t="shared" si="167"/>
        <v>3138802</v>
      </c>
      <c r="BH135" s="47">
        <f t="shared" si="167"/>
        <v>181084882</v>
      </c>
      <c r="BI135" s="47">
        <f t="shared" si="167"/>
        <v>119601181</v>
      </c>
      <c r="BJ135" s="47">
        <f t="shared" si="167"/>
        <v>256596661</v>
      </c>
      <c r="BK135" s="47">
        <f t="shared" si="167"/>
        <v>33084973</v>
      </c>
      <c r="BL135" s="47">
        <f t="shared" si="167"/>
        <v>245158308</v>
      </c>
      <c r="BM135" s="47">
        <f t="shared" si="167"/>
        <v>104082206</v>
      </c>
      <c r="BN135" s="47">
        <f t="shared" si="167"/>
        <v>0</v>
      </c>
      <c r="BO135" s="47">
        <f t="shared" si="167"/>
        <v>300856785</v>
      </c>
      <c r="BP135" s="47">
        <f t="shared" si="167"/>
        <v>90420000</v>
      </c>
      <c r="BQ135" s="47">
        <f t="shared" si="167"/>
        <v>711819091</v>
      </c>
      <c r="BR135" s="108">
        <f>+BS135/G135</f>
        <v>0.57085150687357122</v>
      </c>
      <c r="BS135" s="47">
        <f t="shared" ref="BS135:CM135" si="168">BS20+BS60+BS93+BS113+BS133</f>
        <v>14249613410</v>
      </c>
      <c r="BT135" s="47">
        <f t="shared" si="168"/>
        <v>0</v>
      </c>
      <c r="BU135" s="47">
        <f t="shared" si="168"/>
        <v>198408143</v>
      </c>
      <c r="BV135" s="47">
        <f t="shared" si="168"/>
        <v>5486815419</v>
      </c>
      <c r="BW135" s="47">
        <f t="shared" si="168"/>
        <v>147809402</v>
      </c>
      <c r="BX135" s="47">
        <f t="shared" si="168"/>
        <v>2097989036</v>
      </c>
      <c r="BY135" s="47">
        <f t="shared" si="168"/>
        <v>106769230</v>
      </c>
      <c r="BZ135" s="47">
        <f t="shared" si="168"/>
        <v>0</v>
      </c>
      <c r="CA135" s="47">
        <f t="shared" si="168"/>
        <v>0</v>
      </c>
      <c r="CB135" s="47">
        <f t="shared" si="168"/>
        <v>0</v>
      </c>
      <c r="CC135" s="47">
        <f t="shared" si="168"/>
        <v>300000</v>
      </c>
      <c r="CD135" s="47">
        <f t="shared" si="168"/>
        <v>130112725</v>
      </c>
      <c r="CE135" s="47">
        <f t="shared" si="168"/>
        <v>1388135369</v>
      </c>
      <c r="CF135" s="47">
        <f t="shared" si="168"/>
        <v>867625319</v>
      </c>
      <c r="CG135" s="47">
        <f t="shared" si="168"/>
        <v>453711667</v>
      </c>
      <c r="CH135" s="47">
        <f t="shared" si="168"/>
        <v>934853833</v>
      </c>
      <c r="CI135" s="47">
        <f t="shared" si="168"/>
        <v>1044337414</v>
      </c>
      <c r="CJ135" s="47">
        <f t="shared" si="168"/>
        <v>5867630</v>
      </c>
      <c r="CK135" s="47">
        <f t="shared" si="168"/>
        <v>429051059</v>
      </c>
      <c r="CL135" s="47">
        <f t="shared" si="168"/>
        <v>23350298</v>
      </c>
      <c r="CM135" s="47">
        <f t="shared" si="168"/>
        <v>934476866</v>
      </c>
      <c r="CN135" s="25">
        <f>1-BR135</f>
        <v>0.42914849312642878</v>
      </c>
      <c r="CO135" s="47">
        <f t="shared" ref="CO135:DH135" si="169">CO20+CO60+CO93+CO113+CO133</f>
        <v>10712418289</v>
      </c>
      <c r="CP135" s="47">
        <f t="shared" si="169"/>
        <v>1591857</v>
      </c>
      <c r="CQ135" s="47">
        <f t="shared" si="169"/>
        <v>5037277680</v>
      </c>
      <c r="CR135" s="47">
        <f t="shared" si="169"/>
        <v>23193925</v>
      </c>
      <c r="CS135" s="47">
        <f t="shared" si="169"/>
        <v>503027861</v>
      </c>
      <c r="CT135" s="47">
        <f t="shared" si="169"/>
        <v>31603756</v>
      </c>
      <c r="CU135" s="47">
        <f t="shared" si="169"/>
        <v>54387</v>
      </c>
      <c r="CV135" s="47">
        <f t="shared" si="169"/>
        <v>30665828</v>
      </c>
      <c r="CW135" s="47">
        <f t="shared" si="169"/>
        <v>1940856</v>
      </c>
      <c r="CX135" s="47">
        <f t="shared" si="169"/>
        <v>3138802</v>
      </c>
      <c r="CY135" s="47">
        <f t="shared" si="169"/>
        <v>215828732</v>
      </c>
      <c r="CZ135" s="47">
        <f t="shared" si="169"/>
        <v>706447480</v>
      </c>
      <c r="DA135" s="47">
        <f t="shared" si="169"/>
        <v>274404304</v>
      </c>
      <c r="DB135" s="47">
        <f t="shared" si="169"/>
        <v>33084973</v>
      </c>
      <c r="DC135" s="47">
        <f t="shared" si="169"/>
        <v>371222932</v>
      </c>
      <c r="DD135" s="47">
        <f t="shared" si="169"/>
        <v>218214243</v>
      </c>
      <c r="DE135" s="47">
        <f t="shared" si="169"/>
        <v>45427753</v>
      </c>
      <c r="DF135" s="47">
        <f t="shared" si="169"/>
        <v>2270948941</v>
      </c>
      <c r="DG135" s="47">
        <f t="shared" si="169"/>
        <v>181391538</v>
      </c>
      <c r="DH135" s="47">
        <f t="shared" si="169"/>
        <v>762952441</v>
      </c>
    </row>
    <row r="136" spans="1:112" ht="5.25" customHeight="1" x14ac:dyDescent="0.25">
      <c r="C136" s="109"/>
      <c r="D136" s="109"/>
      <c r="E136" s="110"/>
      <c r="F136" s="110"/>
      <c r="G136" s="111"/>
      <c r="H136" s="111"/>
      <c r="I136" s="112"/>
      <c r="J136" s="111"/>
      <c r="K136" s="113"/>
      <c r="L136" s="113"/>
      <c r="M136" s="113"/>
      <c r="N136" s="113"/>
      <c r="O136" s="113"/>
      <c r="P136" s="113"/>
      <c r="Q136" s="113"/>
      <c r="R136" s="113"/>
      <c r="S136" s="113"/>
      <c r="T136" s="113"/>
      <c r="U136" s="113"/>
      <c r="V136" s="113"/>
      <c r="W136" s="113"/>
      <c r="X136" s="113"/>
      <c r="Y136" s="113"/>
      <c r="Z136" s="113"/>
      <c r="AA136" s="114"/>
      <c r="AB136" s="115"/>
      <c r="AC136" s="115"/>
      <c r="AD136" s="115"/>
      <c r="AE136" s="115"/>
      <c r="AF136" s="115"/>
      <c r="AG136" s="113"/>
      <c r="AH136" s="113"/>
      <c r="AI136" s="113"/>
      <c r="AJ136" s="113"/>
      <c r="AK136" s="113"/>
      <c r="AL136" s="113"/>
      <c r="AM136" s="113"/>
      <c r="AN136" s="113"/>
      <c r="AO136" s="113"/>
      <c r="AP136" s="113"/>
      <c r="AQ136" s="113"/>
      <c r="AR136" s="113"/>
      <c r="AS136" s="113"/>
      <c r="AT136" s="113"/>
      <c r="AU136" s="113"/>
      <c r="AV136" s="113"/>
      <c r="AW136" s="114"/>
      <c r="AX136" s="115"/>
      <c r="AY136" s="115"/>
      <c r="AZ136" s="115"/>
      <c r="BA136" s="115"/>
      <c r="BB136" s="116"/>
      <c r="BC136" s="116"/>
      <c r="BD136" s="116"/>
      <c r="BE136" s="116"/>
      <c r="BF136" s="116"/>
      <c r="BG136" s="116"/>
      <c r="BH136" s="116"/>
      <c r="BI136" s="116"/>
      <c r="BJ136" s="116"/>
      <c r="BK136" s="116"/>
      <c r="BL136" s="116"/>
      <c r="BM136" s="116"/>
      <c r="BN136" s="116"/>
      <c r="BO136" s="116"/>
      <c r="BP136" s="116"/>
      <c r="BQ136" s="116"/>
      <c r="BR136" s="114"/>
      <c r="BS136" s="117"/>
      <c r="BT136" s="118"/>
      <c r="BU136" s="118"/>
      <c r="BV136" s="118"/>
      <c r="BW136" s="118"/>
      <c r="BX136" s="113"/>
      <c r="BY136" s="113"/>
      <c r="BZ136" s="113"/>
      <c r="CA136" s="113"/>
      <c r="CB136" s="113"/>
      <c r="CC136" s="113"/>
      <c r="CD136" s="113"/>
      <c r="CE136" s="113"/>
      <c r="CF136" s="113"/>
      <c r="CG136" s="113"/>
      <c r="CH136" s="113"/>
      <c r="CI136" s="113"/>
      <c r="CJ136" s="113"/>
      <c r="CK136" s="113"/>
      <c r="CL136" s="113"/>
      <c r="CM136" s="113"/>
      <c r="CN136" s="25"/>
      <c r="CO136" s="119"/>
      <c r="CP136" s="115"/>
      <c r="CQ136" s="115"/>
      <c r="CR136" s="115"/>
      <c r="CS136" s="116"/>
      <c r="CT136" s="116"/>
      <c r="CU136" s="116"/>
      <c r="CV136" s="116"/>
      <c r="CW136" s="116"/>
      <c r="CX136" s="116"/>
      <c r="CY136" s="116"/>
      <c r="CZ136" s="116"/>
      <c r="DA136" s="116"/>
      <c r="DB136" s="116"/>
      <c r="DC136" s="116"/>
      <c r="DD136" s="116"/>
      <c r="DE136" s="116"/>
      <c r="DF136" s="116"/>
      <c r="DG136" s="116"/>
      <c r="DH136" s="116"/>
    </row>
    <row r="137" spans="1:112" ht="16.5" customHeight="1" x14ac:dyDescent="0.25">
      <c r="C137" s="120"/>
      <c r="D137" s="121" t="s">
        <v>373</v>
      </c>
      <c r="E137" s="114">
        <v>111</v>
      </c>
      <c r="F137" s="122"/>
      <c r="G137" s="123">
        <f>SUMIF($E$4:$E$132,"111",$G$4:$G$132)</f>
        <v>4952937690</v>
      </c>
      <c r="H137" s="124">
        <f>SUMIF($E$4:$E$133,"111",$H$4:$H$133)</f>
        <v>0</v>
      </c>
      <c r="I137" s="124">
        <f>SUMIF($E$4:$E$133,"111",$I$4:$I$133)</f>
        <v>4130647071</v>
      </c>
      <c r="J137" s="123">
        <f>SUMIF($E$4:$E$132,"111",$J$4:$J$132)</f>
        <v>171003327</v>
      </c>
      <c r="K137" s="122">
        <f>SUMIF($E$4:$E$133,"111",$K$4:$K$133)</f>
        <v>0</v>
      </c>
      <c r="L137" s="122">
        <f>SUMIF($E$4:$E$132,"111",$L$4:$L$132)</f>
        <v>0</v>
      </c>
      <c r="M137" s="122">
        <f>SUMIF($E$4:$E$132,"111",$M$4:$M$132)</f>
        <v>54387</v>
      </c>
      <c r="N137" s="122">
        <f>SUMIF($E$4:$E$132,"111",$N$4:$N$132)</f>
        <v>30665828</v>
      </c>
      <c r="O137" s="122">
        <f>SUMIF($E$4:$E$132,"111",$O$4:$O$132)</f>
        <v>1940856</v>
      </c>
      <c r="P137" s="122">
        <f>SUMIF($E$4:$E$132,"111",$P$4:$P$132)</f>
        <v>3438802</v>
      </c>
      <c r="Q137" s="122">
        <f>SUMIF($E$4:$E$132,"111",$Q$4:$Q$132)</f>
        <v>250509069</v>
      </c>
      <c r="R137" s="122">
        <f>SUMIF($E$4:$E$132,"111",$R$4:$R$132)</f>
        <v>0</v>
      </c>
      <c r="S137" s="122">
        <f>SUMIF($E$4:$E$132,"111",$S$4:$S$132)</f>
        <v>0</v>
      </c>
      <c r="T137" s="122">
        <f>SUMIF($E$4:$E$132,"111",$T$4:$T$132)</f>
        <v>0</v>
      </c>
      <c r="U137" s="122">
        <f>SUMIF($E$4:$E$132,"111",$U$4:$U$132)</f>
        <v>0</v>
      </c>
      <c r="V137" s="122">
        <f>SUMIF($E$4:$E$132,"111",$V$4:$V$132)</f>
        <v>0</v>
      </c>
      <c r="W137" s="122"/>
      <c r="X137" s="122">
        <f>SUMIF($E$4:$E$132,"111",$X$4:$X$132)</f>
        <v>0</v>
      </c>
      <c r="Y137" s="122">
        <f>SUMIF($E$4:$E$132,"111",$Y$4:$Y$132)</f>
        <v>0</v>
      </c>
      <c r="Z137" s="122">
        <f>SUMIF($E$4:$E$132,"111",$Z$4:$Z$132)</f>
        <v>364678350</v>
      </c>
      <c r="AA137" s="125">
        <f t="shared" ref="AA137:AA146" si="170">+AB137/G137</f>
        <v>0.52460505494467469</v>
      </c>
      <c r="AB137" s="28">
        <f t="shared" ref="AB137:AB143" si="171">SUM(AD137:AV137)</f>
        <v>2598336149</v>
      </c>
      <c r="AC137" s="123">
        <f>SUMIF($E$4:$E$132,"111",$AC$4:$AC$132)</f>
        <v>0</v>
      </c>
      <c r="AD137" s="123">
        <f>SUMIF($E$4:$E$132,"111",$AD$4:$AD$132)</f>
        <v>0</v>
      </c>
      <c r="AE137" s="123">
        <f>SUMIF($E$4:$E$132,"111",$AE$4:$AE$132)</f>
        <v>2344813287</v>
      </c>
      <c r="AF137" s="123">
        <f>SUMIF($E$4:$E$132,"111",$AF$4:$AF$132)</f>
        <v>147809410</v>
      </c>
      <c r="AG137" s="123">
        <f>SUMIF($E$4:$E$132,"111",$AG$4:$AG$132)</f>
        <v>0</v>
      </c>
      <c r="AH137" s="123">
        <f>SUMIF($E$4:$E$132,"111",$AH$4:$AH$132)</f>
        <v>0</v>
      </c>
      <c r="AI137" s="123">
        <f>SUMIF($E$4:$E$132,"111",$AI$4:$AI$132)</f>
        <v>0</v>
      </c>
      <c r="AJ137" s="123">
        <f>SUMIF($E$4:$E$132,"111",$AJ$4:$AJ$132)</f>
        <v>0</v>
      </c>
      <c r="AK137" s="123">
        <f>SUMIF($E$4:$E$132,"111",$AK$4:$AK$132)</f>
        <v>0</v>
      </c>
      <c r="AL137" s="123">
        <f>SUMIF($E$4:$E$132,"111",$AL$4:$AL$132)</f>
        <v>300000</v>
      </c>
      <c r="AM137" s="123">
        <f>SUMIF($E$4:$E$132,"111",$AM$4:$AM$132)</f>
        <v>79856575</v>
      </c>
      <c r="AN137" s="123">
        <f>SUMIF($E$4:$E$132,"111",$AN$4:$AN$132)</f>
        <v>0</v>
      </c>
      <c r="AO137" s="123">
        <f>SUMIF($E$4:$E$132,"111",$AO$4:$AO$132)</f>
        <v>0</v>
      </c>
      <c r="AP137" s="123">
        <f>SUMIF($E$4:$E$132,"111",$AP$4:$AP$132)</f>
        <v>0</v>
      </c>
      <c r="AQ137" s="123">
        <f>SUMIF($E$4:$E$132,"111",$AQ$4:$AQ$132)</f>
        <v>0</v>
      </c>
      <c r="AR137" s="123">
        <f>SUMIF($E$4:$E$132,"111",$AQ$4:$AQ$132)</f>
        <v>0</v>
      </c>
      <c r="AS137" s="123">
        <f>SUMIF($E$4:$E$132,"111",$AS$4:$AS$132)</f>
        <v>0</v>
      </c>
      <c r="AT137" s="123">
        <f>SUMIF($E$4:$E$132,"111",$AT$4:$AT$132)</f>
        <v>0</v>
      </c>
      <c r="AU137" s="123">
        <f>SUMIF($E$4:$E$132,"111",$AU$4:$AU$132)</f>
        <v>0</v>
      </c>
      <c r="AV137" s="123">
        <f>SUMIF($E$4:$E$132,"111",$AV$4:$AV$132)</f>
        <v>25556877</v>
      </c>
      <c r="AW137" s="108">
        <f t="shared" ref="AW137:AW146" si="172">1-AA137</f>
        <v>0.47539494505532531</v>
      </c>
      <c r="AX137" s="28">
        <f t="shared" ref="AX137:AX143" si="173">SUM(AY137:BQ137)</f>
        <v>2354601541</v>
      </c>
      <c r="AY137" s="126">
        <f>SUMIF($E$4:$E$132,"111",$AY$4:$AY$132)</f>
        <v>0</v>
      </c>
      <c r="AZ137" s="126">
        <f>SUMIF($E$4:$E$132,"111",$AZ$4:$AZ$132)</f>
        <v>1785833784</v>
      </c>
      <c r="BA137" s="126">
        <f>SUMIF($E$4:$E$132,"111",$BA$4:$BA$132)</f>
        <v>23193917</v>
      </c>
      <c r="BB137" s="126">
        <f>SUMIF($E$4:$E$132,"111",$BB$4:$BB$132)</f>
        <v>0</v>
      </c>
      <c r="BC137" s="126">
        <f>SUMIF($E$4:$E$132,"111",$BC$4:$BC$132)</f>
        <v>0</v>
      </c>
      <c r="BD137" s="126">
        <f>SUMIF($E$4:$E$132,"111",$BD$4:$BD$132)</f>
        <v>54387</v>
      </c>
      <c r="BE137" s="126">
        <f>SUMIF($E$4:$E$133,"111",$BE$4:$BE$133)</f>
        <v>30665828</v>
      </c>
      <c r="BF137" s="126">
        <f>SUMIF($E$4:$E$132,"111",$BF$4:$BF$132)</f>
        <v>1940856</v>
      </c>
      <c r="BG137" s="126">
        <f>SUMIF($E$4:$E$132,"111",$BG$4:$BG$132)</f>
        <v>3138802</v>
      </c>
      <c r="BH137" s="126">
        <f>SUMIF($E$4:$E$132,"111",$BH$4:$BH$132)</f>
        <v>170652494</v>
      </c>
      <c r="BI137" s="126">
        <f>SUMIF($E$4:$E$132,"111",$BI$4:$BI$132)</f>
        <v>0</v>
      </c>
      <c r="BJ137" s="126">
        <f>SUMIF($E$4:$E$132,"111",$BJ$4:$BJ$132)</f>
        <v>0</v>
      </c>
      <c r="BK137" s="126">
        <f>SUMIF($E$4:$E$132,"111",$BK$4:$BK$132)</f>
        <v>0</v>
      </c>
      <c r="BL137" s="126">
        <f>SUMIF($E$4:$E$132,"111",$BL$4:$BL$132)</f>
        <v>0</v>
      </c>
      <c r="BM137" s="126">
        <f>SUMIF($E$4:$E$132,"111",$BM$4:$BM$132)</f>
        <v>0</v>
      </c>
      <c r="BN137" s="126"/>
      <c r="BO137" s="126">
        <f>SUMIF($E$4:$E$132,"111",$BO$4:$BO$132)</f>
        <v>0</v>
      </c>
      <c r="BP137" s="126">
        <f>SUMIF($E$4:$E$132,"111",$BP$4:$BP$132)</f>
        <v>0</v>
      </c>
      <c r="BQ137" s="127">
        <f>SUMIF($E$4:$E$132,"111",$BQ$4:$BQ$132)</f>
        <v>339121473</v>
      </c>
      <c r="BR137" s="128">
        <f t="shared" ref="BR137:BR146" si="174">+BS137/G137</f>
        <v>0.51032410868064038</v>
      </c>
      <c r="BS137" s="33">
        <f t="shared" ref="BS137:BS142" si="175">SUM(BU137:CM137)</f>
        <v>2527603512</v>
      </c>
      <c r="BT137" s="123">
        <f>SUMIF($E$4:$E$132,"111",$BT$4:$BT$132)</f>
        <v>0</v>
      </c>
      <c r="BU137" s="123">
        <f>SUMIF($E$4:$E$132,"111",$BU$4:$BU$132)</f>
        <v>0</v>
      </c>
      <c r="BV137" s="123">
        <f>SUMIF($E$4:$E$132,"111",$BV$4:$BV$132)</f>
        <v>2284964768</v>
      </c>
      <c r="BW137" s="123">
        <f>SUMIF($E$4:$E$132,"111",$BW$4:$BW$132)</f>
        <v>147809402</v>
      </c>
      <c r="BX137" s="123">
        <f>SUMIF($E$4:$E$132,"111",$BX$4:$BX$132)</f>
        <v>0</v>
      </c>
      <c r="BY137" s="123">
        <f>SUMIF($E$4:$E$132,"111",$BY$4:$BY$132)</f>
        <v>0</v>
      </c>
      <c r="BZ137" s="123">
        <f>SUMIF($E$4:$E$132,"111",$BZ$4:$BZ$132)</f>
        <v>0</v>
      </c>
      <c r="CA137" s="123">
        <f>SUMIF($E$4:$E$132,"111",$CA$4:$CA$132)</f>
        <v>0</v>
      </c>
      <c r="CB137" s="123">
        <f>SUMIF($E$4:$E$132,"111",$CB$4:$CB$132)</f>
        <v>0</v>
      </c>
      <c r="CC137" s="123">
        <f>SUMIF($E$4:$E$132,"111",$CC$4:$CC$132)</f>
        <v>300000</v>
      </c>
      <c r="CD137" s="123">
        <f>SUMIF($E$4:$E$132,"111",$CD$4:$CD$132)</f>
        <v>79856575</v>
      </c>
      <c r="CE137" s="123">
        <f>SUMIF($E$4:$E$132,"111",$CE$4:$CE$132)</f>
        <v>0</v>
      </c>
      <c r="CF137" s="123">
        <f>SUMIF($E$4:$E$132,"111",$CF$4:$CF$132)</f>
        <v>0</v>
      </c>
      <c r="CG137" s="123">
        <f>SUMIF($E$4:$E$132,"111",$CG$4:$CG$132)</f>
        <v>0</v>
      </c>
      <c r="CH137" s="123">
        <f>SUMIF($E$4:$E$132,"111",$CH$4:$CH$132)</f>
        <v>0</v>
      </c>
      <c r="CI137" s="123">
        <f>SUMIF($E$4:$E$132,"111",$CI$4:$CI$132)</f>
        <v>0</v>
      </c>
      <c r="CJ137" s="123">
        <f>SUMIF($E$4:$E$132,"111",$CJ$4:$CJ$132)</f>
        <v>0</v>
      </c>
      <c r="CK137" s="123">
        <f>SUMIF($E$4:$E$132,"111",$CK$4:$CK$132)</f>
        <v>0</v>
      </c>
      <c r="CL137" s="123">
        <f>SUMIF($E$4:$E$132,"111",$CL$4:$CL$132)</f>
        <v>0</v>
      </c>
      <c r="CM137" s="129">
        <f>SUMIF($E$4:$E$132,"111",$CM$4:$CM$132)</f>
        <v>14672767</v>
      </c>
      <c r="CN137" s="25">
        <f t="shared" ref="CN137:CN146" si="176">1-BR137</f>
        <v>0.48967589131935962</v>
      </c>
      <c r="CO137" s="28">
        <f t="shared" ref="CO137:CO143" si="177">SUM(CP137:DH137)</f>
        <v>2425334178</v>
      </c>
      <c r="CP137" s="126">
        <f>SUMIF($E$4:$E$132,"111",$CP$4:$CP$132)</f>
        <v>0</v>
      </c>
      <c r="CQ137" s="126">
        <f>SUMIF($E$4:$E$132,"111",$CQ$4:$CQ$132)</f>
        <v>1845682303</v>
      </c>
      <c r="CR137" s="126">
        <f>SUMIF($E$4:$E$132,"111",$CR$4:$CR$132)</f>
        <v>23193925</v>
      </c>
      <c r="CS137" s="126">
        <f>SUMIF($E$4:$E$132,"111",$CS$4:$CS$132)</f>
        <v>0</v>
      </c>
      <c r="CT137" s="126">
        <f>SUMIF($E$4:$E$132,"111",$CT$4:$CT$132)</f>
        <v>0</v>
      </c>
      <c r="CU137" s="126">
        <f>SUMIF($E$4:$E$132,"111",$CU$4:$CU$132)</f>
        <v>54387</v>
      </c>
      <c r="CV137" s="130">
        <f>SUMIF($E$4:$E$132,"111",$CV$4:$CV$132)</f>
        <v>30665828</v>
      </c>
      <c r="CW137" s="130">
        <f>SUMIF($E$4:$E$132,"111",$CW$4:$CW$132)</f>
        <v>1940856</v>
      </c>
      <c r="CX137" s="130">
        <f>SUMIF($E$4:$E$132,"111",$CX$4:$CX$132)</f>
        <v>3138802</v>
      </c>
      <c r="CY137" s="130">
        <f>SUMIF($E$4:$E$132,"111",$CY$4:$CY$132)</f>
        <v>170652494</v>
      </c>
      <c r="CZ137" s="130">
        <f>SUMIF($E$4:$E$132,"111",$CZ$4:$CZ$132)</f>
        <v>0</v>
      </c>
      <c r="DA137" s="130">
        <f>SUMIF($E$4:$E$132,"111",$DA$4:$DA$132)</f>
        <v>0</v>
      </c>
      <c r="DB137" s="130">
        <f>SUMIF($E$4:$E$132,"111",$DB$4:$DB$132)</f>
        <v>0</v>
      </c>
      <c r="DC137" s="130">
        <f>SUMIF($E$4:$E$132,"111",$DC$4:$DC$132)</f>
        <v>0</v>
      </c>
      <c r="DD137" s="130">
        <f>SUMIF($E$4:$E$132,"111",$DD$4:$DD$132)</f>
        <v>0</v>
      </c>
      <c r="DE137" s="130">
        <f>SUMIF($E$4:$E$132,"111",$DE$4:$DE$132)</f>
        <v>0</v>
      </c>
      <c r="DF137" s="130">
        <f>SUMIF($E$4:$E$132,"111",$DF$4:$DF$132)</f>
        <v>0</v>
      </c>
      <c r="DG137" s="130">
        <f>SUMIF($E$4:$E$132,"111",$DG$4:$DG$132)</f>
        <v>0</v>
      </c>
      <c r="DH137" s="130">
        <f>SUMIF($E$4:$E$132,"111",$DH$4:$DH$132)</f>
        <v>350005583</v>
      </c>
    </row>
    <row r="138" spans="1:112" ht="18" customHeight="1" x14ac:dyDescent="0.25">
      <c r="C138" s="131"/>
      <c r="D138" s="121" t="s">
        <v>374</v>
      </c>
      <c r="E138" s="114">
        <v>211</v>
      </c>
      <c r="F138" s="122"/>
      <c r="G138" s="123">
        <f>SUMIF($E$4:$E$132,"211",$G$4:$G$132)</f>
        <v>3987310612</v>
      </c>
      <c r="H138" s="124">
        <f>SUMIF($E$4:$E$133,"211",$H$4:$H$133)</f>
        <v>0</v>
      </c>
      <c r="I138" s="124">
        <f>SUMIF($E$4:$E$133,"211",$I$4:$I$133)</f>
        <v>3227181237</v>
      </c>
      <c r="J138" s="123">
        <f>SUMIF($E$4:$E$132,"211",$J$4:$J$132)</f>
        <v>0</v>
      </c>
      <c r="K138" s="122">
        <f>SUMIF($E$4:$E$132,"211",$K$4:$K$132)</f>
        <v>0</v>
      </c>
      <c r="L138" s="122">
        <f>SUMIF($E$4:$E$132,"211",$L$4:$L$132)</f>
        <v>0</v>
      </c>
      <c r="M138" s="122">
        <f>SUMIF($E$4:$E$132,"211",$M$4:$M$132)</f>
        <v>0</v>
      </c>
      <c r="N138" s="122">
        <f>SUMIF($E$4:$E$132,"211",$N$4:$N$132)</f>
        <v>0</v>
      </c>
      <c r="O138" s="122">
        <f>SUMIF($E$4:$E$132,"211",$O$4:$O$132)</f>
        <v>0</v>
      </c>
      <c r="P138" s="122">
        <f>SUMIF($E$4:$E$132,"211",$P$4:$P$132)</f>
        <v>0</v>
      </c>
      <c r="Q138" s="122">
        <f>SUMIF($E$4:$E$132,"211",$Q$4:$Q$132)</f>
        <v>95432388</v>
      </c>
      <c r="R138" s="122">
        <f>SUMIF($E$4:$E$132,"211",$R$4:$R$132)</f>
        <v>0</v>
      </c>
      <c r="S138" s="122">
        <f>SUMIF($E$4:$E$132,"211",$S$4:$S$132)</f>
        <v>380000000</v>
      </c>
      <c r="T138" s="122">
        <f>SUMIF($E$4:$E$132,"211",$T$4:$T$132)</f>
        <v>0</v>
      </c>
      <c r="U138" s="122">
        <f>SUMIF($E$4:$E$132,"211",$U$4:$U$132)</f>
        <v>0</v>
      </c>
      <c r="V138" s="122">
        <f>SUMIF($E$4:$E$132,"211",$V$4:$V$132)</f>
        <v>0</v>
      </c>
      <c r="W138" s="122"/>
      <c r="X138" s="122">
        <f>SUMIF($E$4:$E$132,"211",$X$4:$X$132)</f>
        <v>0</v>
      </c>
      <c r="Y138" s="122">
        <f>SUMIF($E$4:$E$132,"211",$Y$4:$Y$132)</f>
        <v>0</v>
      </c>
      <c r="Z138" s="122">
        <f>SUMIF($E$4:$E$132,"211",$Z$4:$Z$132)</f>
        <v>284696987</v>
      </c>
      <c r="AA138" s="125">
        <f t="shared" si="170"/>
        <v>0.68747288153331354</v>
      </c>
      <c r="AB138" s="28">
        <f t="shared" si="171"/>
        <v>2741167916</v>
      </c>
      <c r="AC138" s="123">
        <f>SUMIF($E$4:$E$132,"211",$AC$4:$AC$132)</f>
        <v>0</v>
      </c>
      <c r="AD138" s="123">
        <f>SUMIF($E$4:$E$132,"211",$AD$4:$AD$132)</f>
        <v>0</v>
      </c>
      <c r="AE138" s="123">
        <f>SUMIF($E$4:$E$132,"211",$AE$4:$AE$132)</f>
        <v>2257319958</v>
      </c>
      <c r="AF138" s="123">
        <f>SUMIF($E$4:$E$132,"211",$AF$4:$AF$132)</f>
        <v>0</v>
      </c>
      <c r="AG138" s="123">
        <f>SUMIF($E$4:$E$132,"211",$AG$4:$AG$132)</f>
        <v>0</v>
      </c>
      <c r="AH138" s="123">
        <f>SUMIF($E$4:$E$132,"211",$AH$4:$AH$132)</f>
        <v>0</v>
      </c>
      <c r="AI138" s="123">
        <f>SUMIF($E$4:$E$132,"211",$AI$4:$AI$132)</f>
        <v>0</v>
      </c>
      <c r="AJ138" s="123">
        <f>SUMIF($E$4:$E$132,"211",$AJ$4:$AJ$132)</f>
        <v>0</v>
      </c>
      <c r="AK138" s="123">
        <f>SUMIF($E$4:$E$132,"211",$AK$4:$AK$132)</f>
        <v>0</v>
      </c>
      <c r="AL138" s="123">
        <f>SUMIF($E$4:$E$132,"211",$AL$4:$AL$132)</f>
        <v>0</v>
      </c>
      <c r="AM138" s="123">
        <f>SUMIF($E$4:$E$132,"211",$AM$4:$AM$132)</f>
        <v>85000000</v>
      </c>
      <c r="AN138" s="123">
        <f>SUMIF($E$4:$E$132,"211",$AN$4:$AN$132)</f>
        <v>0</v>
      </c>
      <c r="AO138" s="123">
        <f>SUMIF($E$4:$E$132,"211",$AO$4:$AO$132)</f>
        <v>250000000</v>
      </c>
      <c r="AP138" s="123">
        <f>SUMIF($E$4:$E$132,"211",$AP$4:$AP$132)</f>
        <v>0</v>
      </c>
      <c r="AQ138" s="123">
        <f>SUMIF($E$4:$E$132,"211",$AQ$4:$AQ$132)</f>
        <v>0</v>
      </c>
      <c r="AR138" s="123">
        <f>SUMIF($E$4:$E$132,"211",$AR$4:$AR$132)</f>
        <v>0</v>
      </c>
      <c r="AS138" s="123">
        <f>SUMIF($E$4:$E$132,"211",$AS$4:$AS$132)</f>
        <v>0</v>
      </c>
      <c r="AT138" s="123">
        <f>SUMIF($E$4:$E$132,"211",$AT$4:$AT$132)</f>
        <v>0</v>
      </c>
      <c r="AU138" s="123">
        <f>SUMIF($E$4:$E$132,"211",$AU$4:$AU$132)</f>
        <v>0</v>
      </c>
      <c r="AV138" s="123">
        <f>SUMIF($E$4:$E$132,"211",$AV$4:$AV$132)</f>
        <v>148847958</v>
      </c>
      <c r="AW138" s="108">
        <f t="shared" si="172"/>
        <v>0.31252711846668646</v>
      </c>
      <c r="AX138" s="28">
        <f t="shared" si="173"/>
        <v>1246142696</v>
      </c>
      <c r="AY138" s="126">
        <f>SUMIF($E$4:$E$132,"211",$AY$4:$AY$132)</f>
        <v>0</v>
      </c>
      <c r="AZ138" s="126">
        <f>SUMIF($E$4:$E$132,"211",$AZ$4:$AZ$132)</f>
        <v>969861279</v>
      </c>
      <c r="BA138" s="126">
        <f>SUMIF($E$4:$E$132,"211",$BA$4:$BA$132)</f>
        <v>0</v>
      </c>
      <c r="BB138" s="126">
        <f>SUMIF($E$4:$E$132,"211",$BB$4:$BB$132)</f>
        <v>0</v>
      </c>
      <c r="BC138" s="126">
        <f>SUMIF($E$4:$E$132,"211",$BC$4:$BC$132)</f>
        <v>0</v>
      </c>
      <c r="BD138" s="126">
        <f>SUMIF($E$4:$E$132,"211",$BD$4:$BD$132)</f>
        <v>0</v>
      </c>
      <c r="BE138" s="126">
        <f>SUMIF($E$4:$E$132,"211",$BE$4:$BE$132)</f>
        <v>0</v>
      </c>
      <c r="BF138" s="126">
        <f>SUMIF($E$4:$E$132,"211",$BF$4:$BF$132)</f>
        <v>0</v>
      </c>
      <c r="BG138" s="126">
        <f>SUMIF($E$4:$E$132,"211",$BG$4:$BG$132)</f>
        <v>0</v>
      </c>
      <c r="BH138" s="126">
        <f>SUMIF($E$4:$E$132,"211",$BH$4:$BH$132)</f>
        <v>10432388</v>
      </c>
      <c r="BI138" s="126">
        <f>SUMIF($E$4:$E$132,"211",$BI$4:$BI$132)</f>
        <v>0</v>
      </c>
      <c r="BJ138" s="126">
        <f>SUMIF($E$4:$E$132,"211",$BJ$4:$BJ$132)</f>
        <v>130000000</v>
      </c>
      <c r="BK138" s="126">
        <f>SUMIF($E$4:$E$132,"211",$BK$4:$BK$132)</f>
        <v>0</v>
      </c>
      <c r="BL138" s="126">
        <f>SUMIF($E$4:$E$132,"211",$BL$4:$BL$132)</f>
        <v>0</v>
      </c>
      <c r="BM138" s="126">
        <f>SUMIF($E$4:$E$132,"211",$BM$4:$BM$132)</f>
        <v>0</v>
      </c>
      <c r="BN138" s="126"/>
      <c r="BO138" s="126">
        <f>SUMIF($E$4:$E$132,"211",$BO$4:$BO$132)</f>
        <v>0</v>
      </c>
      <c r="BP138" s="126">
        <f>SUMIF($E$4:$E$132,"211",$BP$4:$BP$132)</f>
        <v>0</v>
      </c>
      <c r="BQ138" s="127">
        <f>SUMIF($E$4:$E$132,"211",$BQ$4:$BQ$132)</f>
        <v>135849029</v>
      </c>
      <c r="BR138" s="128">
        <f t="shared" si="174"/>
        <v>0.49318132905969853</v>
      </c>
      <c r="BS138" s="33">
        <f t="shared" si="175"/>
        <v>1966467147</v>
      </c>
      <c r="BT138" s="123">
        <f>SUMIF($E$4:$E$132,"211",$BT$4:$BT$132)</f>
        <v>0</v>
      </c>
      <c r="BU138" s="123">
        <f>SUMIF($E$4:$E$132,"211",$BU$4:$BU$132)</f>
        <v>0</v>
      </c>
      <c r="BV138" s="123">
        <f>SUMIF($E$4:$E$132,"211",$BV$4:$BV$132)</f>
        <v>1533253042</v>
      </c>
      <c r="BW138" s="123">
        <f>SUMIF($E$4:$E$132,"211",$BW$4:$BW$132)</f>
        <v>0</v>
      </c>
      <c r="BX138" s="123">
        <f>SUMIF($E$4:$E$132,"211",$BX$4:$BX$132)</f>
        <v>0</v>
      </c>
      <c r="BY138" s="123">
        <f>SUMIF($E$4:$E$132,"211",$BY$4:$BY$132)</f>
        <v>0</v>
      </c>
      <c r="BZ138" s="123">
        <f>SUMIF($E$4:$E$132,"211",$BZ$4:$BZ$132)</f>
        <v>0</v>
      </c>
      <c r="CA138" s="123">
        <f>SUMIF($E$4:$E$132,"211",$CA$4:$CA$132)</f>
        <v>0</v>
      </c>
      <c r="CB138" s="123">
        <f>SUMIF($E$4:$E$132,"211",$CB$4:$CB$132)</f>
        <v>0</v>
      </c>
      <c r="CC138" s="123">
        <f>SUMIF($E$4:$E$132,"211",$CC$4:$CC$132)</f>
        <v>0</v>
      </c>
      <c r="CD138" s="123">
        <f>SUMIF($E$4:$E$132,"211",$CD$4:$CD$132)</f>
        <v>50256150</v>
      </c>
      <c r="CE138" s="123">
        <f>SUMIF($E$4:$E$132,"211",$CE$4:$CE$132)</f>
        <v>0</v>
      </c>
      <c r="CF138" s="123">
        <f>SUMIF($E$4:$E$132,"211",$CF$4:$CF$132)</f>
        <v>249680327</v>
      </c>
      <c r="CG138" s="123">
        <f>SUMIF($E$4:$E$132,"211",$CG$4:$CG$132)</f>
        <v>0</v>
      </c>
      <c r="CH138" s="123">
        <f>SUMIF($E$4:$E$132,"211",$CH$4:$CH$132)</f>
        <v>0</v>
      </c>
      <c r="CI138" s="123">
        <f>SUMIF($E$4:$E$132,"211",$CI$4:$CI$132)</f>
        <v>0</v>
      </c>
      <c r="CJ138" s="123">
        <f>SUMIF($E$4:$E$132,"211",$CJ$4:$CJ$132)</f>
        <v>0</v>
      </c>
      <c r="CK138" s="123">
        <f>SUMIF($E$4:$E$132,"211",$CK$4:$CK$132)</f>
        <v>0</v>
      </c>
      <c r="CL138" s="123">
        <f>SUMIF($E$4:$E$132,"211",$CL$4:$CL$132)</f>
        <v>0</v>
      </c>
      <c r="CM138" s="129">
        <f>SUMIF($E$4:$E$132,"211",$CM$4:$CM$132)</f>
        <v>133277628</v>
      </c>
      <c r="CN138" s="25">
        <f t="shared" si="176"/>
        <v>0.50681867094030153</v>
      </c>
      <c r="CO138" s="28">
        <f t="shared" ca="1" si="177"/>
        <v>2020843465</v>
      </c>
      <c r="CP138" s="126">
        <f ca="1">SUMIF($E$4:$E$133,"211",$CP$4:$CP$132)</f>
        <v>0</v>
      </c>
      <c r="CQ138" s="126">
        <f>SUMIF($E$4:$E$132,"211",$CQ$4:$CQ$132)</f>
        <v>1693928195</v>
      </c>
      <c r="CR138" s="126">
        <f>SUMIF($E$4:$E$132,"211",$CR$4:$CR$132)</f>
        <v>0</v>
      </c>
      <c r="CS138" s="126">
        <f>SUMIF($E$4:$E$132,"211",$CS$4:$CS$132)</f>
        <v>0</v>
      </c>
      <c r="CT138" s="126">
        <f>SUMIF($E$4:$E$132,"211",$CT$4:$CT$132)</f>
        <v>0</v>
      </c>
      <c r="CU138" s="126">
        <f>SUMIF($E$4:$E$132,"211",$CU$4:$CU$132)</f>
        <v>0</v>
      </c>
      <c r="CV138" s="130">
        <f>SUMIF($E$4:$E$132,"211",$CV$4:$CV$132)</f>
        <v>0</v>
      </c>
      <c r="CW138" s="130">
        <f>SUMIF($E$4:$E$132,"211",$CW$4:$CW$132)</f>
        <v>0</v>
      </c>
      <c r="CX138" s="130">
        <f>SUMIF($E$4:$E$132,"211",$CX$4:$CX$132)</f>
        <v>0</v>
      </c>
      <c r="CY138" s="130">
        <f>SUMIF($E$4:$E$132,"211",$CY$4:$CY$132)</f>
        <v>45176238</v>
      </c>
      <c r="CZ138" s="130">
        <f>SUMIF($E$4:$E$132,"211",$CZ$4:$CZ$132)</f>
        <v>0</v>
      </c>
      <c r="DA138" s="130">
        <f>SUMIF($E$4:$E$132,"211",$DA$4:$DA$132)</f>
        <v>130319673</v>
      </c>
      <c r="DB138" s="130">
        <f>SUMIF($E$4:$E$132,"211",$DB$4:$DB$132)</f>
        <v>0</v>
      </c>
      <c r="DC138" s="130">
        <f>SUMIF($E$4:$E$132,"211",$DC$4:$DC$132)</f>
        <v>0</v>
      </c>
      <c r="DD138" s="130">
        <f>SUMIF($E$4:$E$132,"211",$DD$4:$DD$132)</f>
        <v>0</v>
      </c>
      <c r="DE138" s="130">
        <f>SUMIF($E$4:$E$132,"211",$DE$4:$DE$132)</f>
        <v>0</v>
      </c>
      <c r="DF138" s="130">
        <f>SUMIF($E$4:$E$132,"211",$DF$4:$DF$132)</f>
        <v>0</v>
      </c>
      <c r="DG138" s="130">
        <f>SUMIF($E$4:$E$132,"211",$DG$4:$DG$132)</f>
        <v>0</v>
      </c>
      <c r="DH138" s="130">
        <f>SUMIF($E$4:$E$132,"211",$DH$4:$DH$132)</f>
        <v>151419359</v>
      </c>
    </row>
    <row r="139" spans="1:112" ht="16.5" customHeight="1" x14ac:dyDescent="0.25">
      <c r="C139" s="131"/>
      <c r="D139" s="121" t="s">
        <v>375</v>
      </c>
      <c r="E139" s="114">
        <v>310</v>
      </c>
      <c r="F139" s="122"/>
      <c r="G139" s="123">
        <f>SUMIF($E$4:$E$132,"310",$G$4:$G$133)</f>
        <v>1110346880</v>
      </c>
      <c r="H139" s="124">
        <f>SUMIF($E$4:$E$132,"310",$H$4:$H$132)</f>
        <v>0</v>
      </c>
      <c r="I139" s="124">
        <f>SUMIF($E$4:$E$132,"310",$I$4:$I$132)</f>
        <v>450000000</v>
      </c>
      <c r="J139" s="123">
        <f>SUMIF($E$4:$E$132,"310",$J$4:$J$132)</f>
        <v>0</v>
      </c>
      <c r="K139" s="122">
        <f>SUMIF($E$4:$E$132,"310",$K$4:$K$132)</f>
        <v>578368096</v>
      </c>
      <c r="L139" s="122">
        <f>SUMIF($E$4:$E$132,"310",$L$4:$L$132)</f>
        <v>0</v>
      </c>
      <c r="M139" s="122">
        <f>SUMIF($E$4:$E$132,"310",$M$4:$M$132)</f>
        <v>0</v>
      </c>
      <c r="N139" s="122">
        <f>SUMIF($E$4:$E$132,"310",$N$4:$N$132)</f>
        <v>0</v>
      </c>
      <c r="O139" s="122">
        <f>SUMIF($E$4:$E$132,"310",$O$4:$O$132)</f>
        <v>0</v>
      </c>
      <c r="P139" s="122">
        <f>SUMIF($E$4:$E$132,"310",$P$4:$P$132)</f>
        <v>0</v>
      </c>
      <c r="Q139" s="122">
        <f>SUMIF($E$4:$E$132,"310",$Q$4:$Q$132)</f>
        <v>0</v>
      </c>
      <c r="R139" s="122">
        <f>SUMIF($E$4:$E$132,"310",$R$4:$R$132)</f>
        <v>4978784</v>
      </c>
      <c r="S139" s="122">
        <f>SUMIF($E$4:$E$132,"310",$S$4:$S$132)</f>
        <v>0</v>
      </c>
      <c r="T139" s="122">
        <f>SUMIF($E$4:$E$132,"310",$T$4:$T$132)</f>
        <v>0</v>
      </c>
      <c r="U139" s="122">
        <f>SUMIF($E$4:$E$132,"310",$U$4:$U$132)</f>
        <v>0</v>
      </c>
      <c r="V139" s="122">
        <f>SUMIF($E$4:$E$124,"310",$V$4:$V$124)</f>
        <v>0</v>
      </c>
      <c r="W139" s="122"/>
      <c r="X139" s="122">
        <f>SUMIF($E$4:$E$132,"310",$X$4:$X$132)</f>
        <v>0</v>
      </c>
      <c r="Y139" s="122">
        <f>SUMIF($E$4:$E$132,"310",$Y$4:$Y$132)</f>
        <v>0</v>
      </c>
      <c r="Z139" s="122">
        <f>SUMIF($E$4:$E$132,"310",$Z$4:$Z$132)</f>
        <v>77000000</v>
      </c>
      <c r="AA139" s="125">
        <f t="shared" si="170"/>
        <v>0.584856865631036</v>
      </c>
      <c r="AB139" s="33">
        <f t="shared" si="171"/>
        <v>649393996</v>
      </c>
      <c r="AC139" s="123">
        <f>SUMIF($E$4:$E$132,"310",$AC$4:$AC$132)</f>
        <v>0</v>
      </c>
      <c r="AD139" s="123">
        <f>SUMIF($E$4:$E$132,"310",$AD$4:$AD$132)</f>
        <v>0</v>
      </c>
      <c r="AE139" s="123">
        <f>SUMIF($E$4:$E$132,"310",$AE$4:$AE$132)</f>
        <v>152934046</v>
      </c>
      <c r="AF139" s="123">
        <f>SUMIF($E$4:$E$132,"310",$AF$4:$AF$132)</f>
        <v>0</v>
      </c>
      <c r="AG139" s="123">
        <f>SUMIF($E$4:$E$132,"310",$AG$4:$AG$132)</f>
        <v>458594602</v>
      </c>
      <c r="AH139" s="123">
        <f>SUMIF($E$4:$E$132,"310",$AH$4:$AH$132)</f>
        <v>0</v>
      </c>
      <c r="AI139" s="123">
        <f>SUMIF($E$4:$E$132,"310",$AI$4:$AI$132)</f>
        <v>0</v>
      </c>
      <c r="AJ139" s="123">
        <f>SUMIF($E$4:$E$132,"310",$AJ$4:$AJ$132)</f>
        <v>0</v>
      </c>
      <c r="AK139" s="123">
        <f>SUMIF($E$4:$E$132,"310",$AK$4:$AK$132)</f>
        <v>0</v>
      </c>
      <c r="AL139" s="123">
        <f>SUMIF($E$4:$E$132,"310",$AL$4:$AL$132)</f>
        <v>0</v>
      </c>
      <c r="AM139" s="123">
        <f>SUMIF($E$4:$E$132,"310",$AM$4:$AM$132)</f>
        <v>0</v>
      </c>
      <c r="AN139" s="123">
        <f>SUMIF($E$4:$E$132,"310",$AN$4:$AN$132)</f>
        <v>0</v>
      </c>
      <c r="AO139" s="123">
        <f>SUMIF($E$4:$E$132,"310",$AO$4:$AO$132)</f>
        <v>0</v>
      </c>
      <c r="AP139" s="123">
        <f>SUMIF($E$4:$E$132,"310",$AP$4:$AP$132)</f>
        <v>0</v>
      </c>
      <c r="AQ139" s="123">
        <f>SUMIF($E$4:$E$132,"310",$AQ$4:$AQ$132)</f>
        <v>0</v>
      </c>
      <c r="AR139" s="123">
        <f>SUMIF($E$4:$E$132,"310",$AR$4:$AR$132)</f>
        <v>0</v>
      </c>
      <c r="AS139" s="123">
        <f>SUMIF($E$4:$E$132,"310",$AS$4:$AS$132)</f>
        <v>0</v>
      </c>
      <c r="AT139" s="123">
        <f>SUMIF($E$4:$E$132,"310",$AT$4:$AT$132)</f>
        <v>0</v>
      </c>
      <c r="AU139" s="123">
        <f>SUMIF($E$4:$E$132,"310",$AU$4:$AU$132)</f>
        <v>0</v>
      </c>
      <c r="AV139" s="123">
        <f>SUMIF($E$4:$E$132,"310",$AV$4:$AV$132)</f>
        <v>37865348</v>
      </c>
      <c r="AW139" s="108">
        <f t="shared" si="172"/>
        <v>0.415143134368964</v>
      </c>
      <c r="AX139" s="28">
        <f t="shared" si="173"/>
        <v>460952884</v>
      </c>
      <c r="AY139" s="126">
        <f>SUMIF($E$4:$E$132,"310",$AY$4:$AY$132)</f>
        <v>0</v>
      </c>
      <c r="AZ139" s="126">
        <f>SUMIF($E$4:$E$132,"310",$AZ$4:$AZ$132)</f>
        <v>297065954</v>
      </c>
      <c r="BA139" s="126">
        <f>SUMIF($E$4:$E$132,"310",$BA$4:$BA$132)</f>
        <v>0</v>
      </c>
      <c r="BB139" s="126">
        <f>SUMIF($E$4:$E$132,"310",$BB$4:$BB$132)</f>
        <v>119773494</v>
      </c>
      <c r="BC139" s="126">
        <f>SUMIF($E$4:$E$132,"310",$BC$4:$BC$132)</f>
        <v>0</v>
      </c>
      <c r="BD139" s="126">
        <f>SUMIF($E$4:$E$132,"310",$BD$4:$BD$132)</f>
        <v>0</v>
      </c>
      <c r="BE139" s="126">
        <f>SUMIF($E$4:$E$132,"310",$BE$4:$BE$132)</f>
        <v>0</v>
      </c>
      <c r="BF139" s="126">
        <f>SUMIF($E$4:$E$132,"310",$BF$4:$BF$132)</f>
        <v>0</v>
      </c>
      <c r="BG139" s="126">
        <f>SUMIF($E$4:$E$132,"310",$BG$4:$BG$132)</f>
        <v>0</v>
      </c>
      <c r="BH139" s="126">
        <f>SUMIF($E$4:$E$132,"310",$BH$4:$BH$132)</f>
        <v>0</v>
      </c>
      <c r="BI139" s="126">
        <f>SUMIF($E$4:$E$132,"310",$BI$4:$BI$132)</f>
        <v>4978784</v>
      </c>
      <c r="BJ139" s="126">
        <f>SUMIF($E$4:$E$132,"310",$BJ$4:$BJ$132)</f>
        <v>0</v>
      </c>
      <c r="BK139" s="126">
        <f>SUMIF($E$4:$E$132,"310",$BK$4:$BK$132)</f>
        <v>0</v>
      </c>
      <c r="BL139" s="126">
        <f>SUMIF($E$4:$E$132,"310",$BL$4:$BL$132)</f>
        <v>0</v>
      </c>
      <c r="BM139" s="126">
        <f>SUMIF($E$4:$E$132,"310",$BM$4:$BM$132)</f>
        <v>0</v>
      </c>
      <c r="BN139" s="126">
        <f>SUMIF($E$4:$E$132,"310",$BM$4:$BM$132)</f>
        <v>0</v>
      </c>
      <c r="BO139" s="126">
        <f>SUMIF($E$4:$E$132,"310",$BO$4:$BO$132)</f>
        <v>0</v>
      </c>
      <c r="BP139" s="126">
        <f>SUMIF($E$4:$E$132,"310",$BP$4:$BP$132)</f>
        <v>0</v>
      </c>
      <c r="BQ139" s="127">
        <f>SUMIF($E$4:$E$132,"310",$BQ$4:$BQ$132)</f>
        <v>39134652</v>
      </c>
      <c r="BR139" s="128">
        <f t="shared" si="174"/>
        <v>0.42989801529410343</v>
      </c>
      <c r="BS139" s="33">
        <f t="shared" si="175"/>
        <v>477335920</v>
      </c>
      <c r="BT139" s="123">
        <f>SUMIF($E$4:$E$132,"310",$BT$4:$BT$132)</f>
        <v>0</v>
      </c>
      <c r="BU139" s="123">
        <f>SUMIF($E$4:$E$132,"310",$BU$4:$BU$132)</f>
        <v>0</v>
      </c>
      <c r="BV139" s="123">
        <f>SUMIF($E$4:$E$132,"310",$BV$4:$BV$132)</f>
        <v>124254160</v>
      </c>
      <c r="BW139" s="123">
        <f>SUMIF($E$4:$E$132,"310",$BW$4:$BW$132)</f>
        <v>0</v>
      </c>
      <c r="BX139" s="123">
        <f>SUMIF($E$4:$E$132,"310",$BX$4:$BX$132)</f>
        <v>315709576</v>
      </c>
      <c r="BY139" s="123">
        <f>SUMIF($E$4:$E$132,"310",$BY$4:$BY$132)</f>
        <v>0</v>
      </c>
      <c r="BZ139" s="123">
        <f>SUMIF($E$4:$E$132,"310",$BZ$4:$BZ$132)</f>
        <v>0</v>
      </c>
      <c r="CA139" s="123">
        <f>SUMIF($E$4:$E$132,"310",$CA$4:$CA$132)</f>
        <v>0</v>
      </c>
      <c r="CB139" s="123">
        <f>SUMIF($E$4:$E$132,"310",$CB$4:$CB$132)</f>
        <v>0</v>
      </c>
      <c r="CC139" s="123">
        <f>SUMIF($E$4:$E$132,"310",$CC$4:$CC$132)</f>
        <v>0</v>
      </c>
      <c r="CD139" s="123">
        <f>SUMIF($E$4:$E$132,"310",$CD$4:$CD$132)</f>
        <v>0</v>
      </c>
      <c r="CE139" s="123">
        <f>SUMIF($E$4:$E$132,"310",$CE$4:$CE$132)</f>
        <v>0</v>
      </c>
      <c r="CF139" s="123">
        <f>SUMIF($E$4:$E$132,"310",$CF$4:$CF$132)</f>
        <v>0</v>
      </c>
      <c r="CG139" s="123">
        <f>SUMIF($E$4:$E$132,"310",$CG$4:$CG$132)</f>
        <v>0</v>
      </c>
      <c r="CH139" s="123">
        <f>SUMIF($E$4:$E$132,"310",$CH$4:$CH$132)</f>
        <v>0</v>
      </c>
      <c r="CI139" s="123">
        <f>SUMIF($E$4:$E$132,"310",$CI$4:$CI$132)</f>
        <v>0</v>
      </c>
      <c r="CJ139" s="123">
        <f>SUMIF($E$4:$E$132,"310",$CJ$4:$CJ$132)</f>
        <v>0</v>
      </c>
      <c r="CK139" s="123">
        <f>SUMIF($E$4:$E$132,"310",$CK$4:$CK$132)</f>
        <v>0</v>
      </c>
      <c r="CL139" s="123">
        <f>SUMIF($E$4:$E$132,"310",$CL$4:$CL$132)</f>
        <v>0</v>
      </c>
      <c r="CM139" s="129">
        <f>SUMIF($E$4:$E$132,"310",$CM$4:$CM$132)</f>
        <v>37372184</v>
      </c>
      <c r="CN139" s="25">
        <f t="shared" si="176"/>
        <v>0.57010198470589657</v>
      </c>
      <c r="CO139" s="28">
        <f t="shared" si="177"/>
        <v>633010960</v>
      </c>
      <c r="CP139" s="126">
        <f>SUMIF($E$4:$E$132,"310",$CP$4:$CP$132)</f>
        <v>0</v>
      </c>
      <c r="CQ139" s="126">
        <f>SUMIF($E$4:$E$132,"310",$CQ$4:$CQ$132)</f>
        <v>325745840</v>
      </c>
      <c r="CR139" s="126">
        <f>SUMIF($E$4:$E$132,"310",$CR$4:$CR$132)</f>
        <v>0</v>
      </c>
      <c r="CS139" s="126">
        <f>SUMIF($E$4:$E$132,"310",$CS$4:$CS$132)</f>
        <v>262658520</v>
      </c>
      <c r="CT139" s="126">
        <f>SUMIF($E$4:$E$132,"310",$CT$4:$CT$132)</f>
        <v>0</v>
      </c>
      <c r="CU139" s="126">
        <f>SUMIF($E$4:$E$132,"310",$CU$4:$CU$132)</f>
        <v>0</v>
      </c>
      <c r="CV139" s="130">
        <f>SUMIF($E$4:$E$132,"310",$CV$4:$CV$132)</f>
        <v>0</v>
      </c>
      <c r="CW139" s="130">
        <f>SUMIF($E$4:$E$132,"310",$CW$4:$CW$132)</f>
        <v>0</v>
      </c>
      <c r="CX139" s="130">
        <f>SUMIF($E$4:$E$132,"310",$CX$4:$CX$132)</f>
        <v>0</v>
      </c>
      <c r="CY139" s="130">
        <f>SUMIF($E$4:$E$132,"310",$CY$4:$CY$132)</f>
        <v>0</v>
      </c>
      <c r="CZ139" s="130">
        <f>SUMIF($E$4:$E$132,"310",$CZ$4:$CZ$132)</f>
        <v>4978784</v>
      </c>
      <c r="DA139" s="130">
        <f>SUMIF($E$4:$E$132,"310",$DA$4:$DA$132)</f>
        <v>0</v>
      </c>
      <c r="DB139" s="130">
        <f>SUMIF($E$4:$E$132,"310",$DB$4:$DB$132)</f>
        <v>0</v>
      </c>
      <c r="DC139" s="130">
        <f>SUMIF($E$4:$E$132,"310",$DC$4:$DC$132)</f>
        <v>0</v>
      </c>
      <c r="DD139" s="130">
        <f>SUMIF($E$4:$E$132,"310",$DD$4:$DD$132)</f>
        <v>0</v>
      </c>
      <c r="DE139" s="130">
        <f>SUMIF($E$4:$E$132,"310",$DE$4:$DE$132)</f>
        <v>0</v>
      </c>
      <c r="DF139" s="130">
        <f>SUMIF($E$4:$E$132,"310",$DF$4:$DF$132)</f>
        <v>0</v>
      </c>
      <c r="DG139" s="130">
        <f>SUMIF($E$4:$E$132,"310",$DG$4:$DG$132)</f>
        <v>0</v>
      </c>
      <c r="DH139" s="130">
        <f>SUMIF($E$4:$E$132,"310",$DH$4:$DH$132)</f>
        <v>39627816</v>
      </c>
    </row>
    <row r="140" spans="1:112" x14ac:dyDescent="0.25">
      <c r="C140" s="132"/>
      <c r="D140" s="121" t="s">
        <v>376</v>
      </c>
      <c r="E140" s="114">
        <v>410</v>
      </c>
      <c r="F140" s="122"/>
      <c r="G140" s="123">
        <f>SUMIF($E$4:$E$132,"410",$G$4:$G$132)</f>
        <v>5991897445</v>
      </c>
      <c r="H140" s="124">
        <f>SUMIF($E$4:$E$132,"410",$H$4:$H$132)</f>
        <v>0</v>
      </c>
      <c r="I140" s="124">
        <f>SUMIF($E$4:$E$133,"410",$I$4:$I$133)</f>
        <v>2263096695</v>
      </c>
      <c r="J140" s="123">
        <f>SUMIF($E$4:$E$132,"410",$J$4:$J$132)</f>
        <v>0</v>
      </c>
      <c r="K140" s="122">
        <f>SUMIF($E$4:$E$132,"410",$K$4:$K$132)</f>
        <v>0</v>
      </c>
      <c r="L140" s="122">
        <f>SUMIF($E$4:$E$132,"410",$L$4:$L$132)</f>
        <v>74368590</v>
      </c>
      <c r="M140" s="122">
        <f>SUMIF($E$4:$E$132,"410",$M$4:$M$132)</f>
        <v>0</v>
      </c>
      <c r="N140" s="122">
        <f>SUMIF($E$4:$E$132,"410",$N$4:$N$132)</f>
        <v>0</v>
      </c>
      <c r="O140" s="122">
        <f>SUMIF($E$4:$E$132,"410",$O$4:$O$132)</f>
        <v>0</v>
      </c>
      <c r="P140" s="122">
        <f>SUMIF($E$4:$E$132,"410",$P$4:$P$132)</f>
        <v>0</v>
      </c>
      <c r="Q140" s="122">
        <f>SUMIF($E$4:$E$132,"410",$Q$4:$Q$132)</f>
        <v>0</v>
      </c>
      <c r="R140" s="122">
        <f>SUMIF($E$4:$E$132,"410",$R$4:$R$132)</f>
        <v>1845604065</v>
      </c>
      <c r="S140" s="122">
        <f>SUMIF($E$4:$E$132,"410",$S$4:$S$132)</f>
        <v>387696735</v>
      </c>
      <c r="T140" s="122">
        <f>SUMIF($E$4:$E$132,"410",$T$4:$T$132)</f>
        <v>0</v>
      </c>
      <c r="U140" s="122">
        <f>SUMIF($E$4:$E$124,"410",$U$4:$U$124)</f>
        <v>1054833768</v>
      </c>
      <c r="V140" s="122">
        <f>SUMIF($E$4:$E$124,"410",$V$4:$V$124)</f>
        <v>0</v>
      </c>
      <c r="W140" s="122">
        <f>SUMIF($E$4:$E$132,"410",$W$4:$W$132)</f>
        <v>51295383</v>
      </c>
      <c r="X140" s="122">
        <f>SUMIF($E$4:$E$132,"410",$X$4:$X$132)</f>
        <v>0</v>
      </c>
      <c r="Y140" s="122">
        <f>SUMIF($E$4:$E$132,"410",$Y$4:$Y$132)</f>
        <v>204741836</v>
      </c>
      <c r="Z140" s="122">
        <f>SUMIF($E$4:$E$132,"410",$Z$4:$Z$132)</f>
        <v>110260373</v>
      </c>
      <c r="AA140" s="125">
        <f t="shared" si="170"/>
        <v>0.86657327159911024</v>
      </c>
      <c r="AB140" s="28">
        <f t="shared" si="171"/>
        <v>5192418172</v>
      </c>
      <c r="AC140" s="123">
        <f>SUMIF($E$4:$E$132,"410",$AC$4:$AC$132)</f>
        <v>0</v>
      </c>
      <c r="AD140" s="123">
        <f>SUMIF($E$4:$E$132,"410",$AD$4:$AD$132)</f>
        <v>0</v>
      </c>
      <c r="AE140" s="123">
        <f>SUMIF($E$4:$E$132,"410",$AE$4:$AE$132)</f>
        <v>1885268117</v>
      </c>
      <c r="AF140" s="123">
        <f>SUMIF($E$4:$E$132,"410",$AF$4:$AF$132)</f>
        <v>0</v>
      </c>
      <c r="AG140" s="123">
        <f>SUMIF($E$4:$E$132,"410",$AG$4:$AG$132)</f>
        <v>0</v>
      </c>
      <c r="AH140" s="123">
        <f>SUMIF($E$4:$E$132,"410",$AH$4:$AH$132)</f>
        <v>43061377</v>
      </c>
      <c r="AI140" s="123">
        <f>SUMIF($E$4:$E$132,"410",$AI$4:$AI$132)</f>
        <v>0</v>
      </c>
      <c r="AJ140" s="123">
        <f>SUMIF($E$4:$E$132,"410",$AJ$4:$AJ$132)</f>
        <v>0</v>
      </c>
      <c r="AK140" s="123">
        <f>SUMIF($E$4:$E$132,"410",$AK$4:$AK$132)</f>
        <v>0</v>
      </c>
      <c r="AL140" s="123">
        <f>SUMIF($E$4:$E$132,"410",$AL$4:$AL$132)</f>
        <v>0</v>
      </c>
      <c r="AM140" s="123">
        <f>SUMIF($E$4:$E$132,"410",$AM$4:$AM$132)</f>
        <v>0</v>
      </c>
      <c r="AN140" s="123">
        <f>SUMIF($E$4:$E$132,"410",$AN$4:$AN$132)</f>
        <v>1787879677</v>
      </c>
      <c r="AO140" s="123">
        <f>SUMIF($E$4:$E$132,"410",$AO$4:$AO$132)</f>
        <v>319704306</v>
      </c>
      <c r="AP140" s="123">
        <f>SUMIF($E$4:$E$132,"410",$AP$4:$AP$132)</f>
        <v>0</v>
      </c>
      <c r="AQ140" s="123">
        <f>SUMIF($E$4:$E$132,"410",$AQ$4:$AQ$132)</f>
        <v>910591170</v>
      </c>
      <c r="AR140" s="123">
        <f>SUMIF($E$4:$E$132,"410",$AR$4:$AR$132)</f>
        <v>0</v>
      </c>
      <c r="AS140" s="123">
        <f>SUMIF($E$4:$E$132,"410",$AS$4:$AS$132)</f>
        <v>51295383</v>
      </c>
      <c r="AT140" s="123">
        <f>SUMIF($E$4:$E$132,"410",$AT$4:$AT$132)</f>
        <v>0</v>
      </c>
      <c r="AU140" s="123">
        <f>SUMIF($E$4:$E$132,"410",$AU$4:$AU$132)</f>
        <v>114321836</v>
      </c>
      <c r="AV140" s="123">
        <f>SUMIF($E$4:$E$132,"410",$AV$4:$AV$132)</f>
        <v>80296306</v>
      </c>
      <c r="AW140" s="108">
        <f t="shared" si="172"/>
        <v>0.13342672840088976</v>
      </c>
      <c r="AX140" s="28">
        <f t="shared" si="173"/>
        <v>799479273</v>
      </c>
      <c r="AY140" s="126">
        <f>SUMIF($E$4:$E$132,"410",$AY$4:$AY$132)</f>
        <v>0</v>
      </c>
      <c r="AZ140" s="126">
        <f>SUMIF($E$4:$E$132,"410",$AZ$4:$AZ$132)</f>
        <v>377828578</v>
      </c>
      <c r="BA140" s="126">
        <f>SUMIF($E$4:$E$132,"410",$BA$4:$BA$132)</f>
        <v>0</v>
      </c>
      <c r="BB140" s="126">
        <f>SUMIF($E$4:$E$132,"410",$BB$4:$BB$132)</f>
        <v>0</v>
      </c>
      <c r="BC140" s="126">
        <f>SUMIF($E$4:$E$132,"410",$BC$4:$BC$132)</f>
        <v>31307213</v>
      </c>
      <c r="BD140" s="126">
        <f>SUMIF($E$4:$E$132,"410",$BD$4:$BD$132)</f>
        <v>0</v>
      </c>
      <c r="BE140" s="126">
        <f>SUMIF($E$4:$E$132,"410",$BE$4:$BE$132)</f>
        <v>0</v>
      </c>
      <c r="BF140" s="126">
        <f>SUMIF($E$4:$E$132,"410",$BF$4:$BF$132)</f>
        <v>0</v>
      </c>
      <c r="BG140" s="126">
        <f>SUMIF($E$4:$E$132,"410",$BG$4:$BG$132)</f>
        <v>0</v>
      </c>
      <c r="BH140" s="126">
        <f>SUMIF($E$4:$E$132,"410",$BH$4:$BH$132)</f>
        <v>0</v>
      </c>
      <c r="BI140" s="126">
        <f>SUMIF($E$4:$E$132,"410",$BI$4:$BI$132)</f>
        <v>57724388</v>
      </c>
      <c r="BJ140" s="126">
        <f>SUMIF($E$4:$E$132,"410",$BJ$4:$BJ$132)</f>
        <v>67992429</v>
      </c>
      <c r="BK140" s="126">
        <f>SUMIF($E$4:$E$132,"410",$BK$4:$BK$132)</f>
        <v>0</v>
      </c>
      <c r="BL140" s="126">
        <f>SUMIF($E$4:$E$132,"410",$BL$4:$BL$132)</f>
        <v>144242598</v>
      </c>
      <c r="BM140" s="126">
        <f>SUMIF($E$4:$E$132,"510",$BM$4:$BM$132)</f>
        <v>0</v>
      </c>
      <c r="BN140" s="126">
        <f>SUMIF($E$4:$E$132,"410",$BN$4:$BN$132)</f>
        <v>0</v>
      </c>
      <c r="BO140" s="126">
        <f>SUMIF($E$4:$E$132,"410",$BO$4:$BO$132)</f>
        <v>0</v>
      </c>
      <c r="BP140" s="126">
        <f>SUMIF($E$4:$E$132,"410",$BP$4:$BP$132)</f>
        <v>90420000</v>
      </c>
      <c r="BQ140" s="127">
        <f>SUMIF($E$4:$E$132,"410",$BQ$4:$BQ$132)</f>
        <v>29964067</v>
      </c>
      <c r="BR140" s="128">
        <f t="shared" si="174"/>
        <v>0.63125973662254498</v>
      </c>
      <c r="BS140" s="28">
        <f t="shared" si="175"/>
        <v>3782443603</v>
      </c>
      <c r="BT140" s="123">
        <f>SUMIF($E$4:$E$132,"410",$BT$4:$BT$132)</f>
        <v>0</v>
      </c>
      <c r="BU140" s="123">
        <f>SUMIF($E$4:$E$132,"410",$BU$4:$BU$132)</f>
        <v>0</v>
      </c>
      <c r="BV140" s="123">
        <f>SUMIF($E$4:$E$132,"410",$BV$4:$BV$132)</f>
        <v>1276175353</v>
      </c>
      <c r="BW140" s="123">
        <f>SUMIF($E$4:$E$132,"410",$BW$4:$BW$132)</f>
        <v>0</v>
      </c>
      <c r="BX140" s="123">
        <f>SUMIF($E$4:$E$132,"410",$BX$4:$BX$132)</f>
        <v>0</v>
      </c>
      <c r="BY140" s="123">
        <f>SUMIF($E$4:$E$132,"410",$BY$4:$BY$132)</f>
        <v>42967109</v>
      </c>
      <c r="BZ140" s="123">
        <f>SUMIF($E$4:$E$132,"410",$BZ$4:$BZ$132)</f>
        <v>0</v>
      </c>
      <c r="CA140" s="123">
        <f>SUMIF($E$4:$E$132,"410",$CA$4:$CA$132)</f>
        <v>0</v>
      </c>
      <c r="CB140" s="123">
        <f>SUMIF($E$4:$E$132,"410",$CB$4:$CB$132)</f>
        <v>0</v>
      </c>
      <c r="CC140" s="123">
        <f>SUMIF($E$4:$E$132,"410",$CC$4:$CC$132)</f>
        <v>0</v>
      </c>
      <c r="CD140" s="123">
        <f>SUMIF($E$4:$E$132,"410",$CD$4:$CD$132)</f>
        <v>0</v>
      </c>
      <c r="CE140" s="123">
        <f>SUMIF($E$4:$E$132,"410",$CE$4:$CE$132)</f>
        <v>1202759755</v>
      </c>
      <c r="CF140" s="123">
        <f>SUMIF($E$4:$E$132,"410",$CF$4:$CF$132)</f>
        <v>305174306</v>
      </c>
      <c r="CG140" s="123">
        <f>SUMIF($E$4:$E$132,"410",$CG$4:$CG$132)</f>
        <v>0</v>
      </c>
      <c r="CH140" s="123">
        <f>SUMIF($E$4:$E$132,"410",$CH$4:$CH$132)</f>
        <v>845852866</v>
      </c>
      <c r="CI140" s="123">
        <f>SUMIF($E$4:$E$132,"410",$CI$4:$CI$132)</f>
        <v>0</v>
      </c>
      <c r="CJ140" s="123">
        <f>SUMIF($E$4:$E$132,"410",$CJ$4:$CJ$132)</f>
        <v>5867630</v>
      </c>
      <c r="CK140" s="123">
        <f>SUMIF($E$4:$E$132,"410",$CK$4:$CK$132)</f>
        <v>0</v>
      </c>
      <c r="CL140" s="123">
        <f>SUMIF($E$4:$E$132,"410",$CL$4:$CL$132)</f>
        <v>23350298</v>
      </c>
      <c r="CM140" s="129">
        <f>SUMIF($E$4:$E$132,"410",$CM$4:$CM$132)</f>
        <v>80296286</v>
      </c>
      <c r="CN140" s="25">
        <f t="shared" si="176"/>
        <v>0.36874026337745502</v>
      </c>
      <c r="CO140" s="28">
        <f t="shared" si="177"/>
        <v>2209453842</v>
      </c>
      <c r="CP140" s="126">
        <f>SUMIF($E$4:$E$132,"410",$CP$4:$CP$132)</f>
        <v>0</v>
      </c>
      <c r="CQ140" s="126">
        <f>SUMIF($E$4:$E$132,"410",$CQ$4:$CQ$132)</f>
        <v>986921342</v>
      </c>
      <c r="CR140" s="126">
        <f>SUMIF($E$4:$E$132,"410",$CR$4:$CR$132)</f>
        <v>0</v>
      </c>
      <c r="CS140" s="126">
        <f>SUMIF($E$4:$E$132,"410",$CS$4:$CS$132)</f>
        <v>0</v>
      </c>
      <c r="CT140" s="126">
        <f>SUMIF($E$4:$E$132,"410",$CT$4:$CT$132)</f>
        <v>31401481</v>
      </c>
      <c r="CU140" s="126">
        <f>SUMIF($E$4:$E$132,"410",$CU$4:$CU$132)</f>
        <v>0</v>
      </c>
      <c r="CV140" s="130">
        <f>SUMIF($E$4:$E$132,"410",$CV$4:$CV$132)</f>
        <v>0</v>
      </c>
      <c r="CW140" s="130">
        <f>SUMIF($E$4:$E$132,"410",$CW$4:$CW$132)</f>
        <v>0</v>
      </c>
      <c r="CX140" s="130">
        <f>SUMIF($E$4:$E$132,"410",$CX$4:$CX$132)</f>
        <v>0</v>
      </c>
      <c r="CY140" s="130">
        <f>SUMIF($E$4:$E$132,"410",$CY$4:$CY$132)</f>
        <v>0</v>
      </c>
      <c r="CZ140" s="130">
        <f>SUMIF($E$4:$E$132,"410",$CZ$4:$CZ$132)</f>
        <v>642844310</v>
      </c>
      <c r="DA140" s="130">
        <f>SUMIF($E$4:$E$132,"410",$DA$4:$DA$132)</f>
        <v>82522429</v>
      </c>
      <c r="DB140" s="130">
        <f>SUMIF($E$4:$E$132,"410",$DB$4:$DB$132)</f>
        <v>0</v>
      </c>
      <c r="DC140" s="130">
        <f>SUMIF($E$4:$E$132,"410",$DC$4:$DC$132)</f>
        <v>208980902</v>
      </c>
      <c r="DD140" s="130">
        <f>SUMIF($E$4:$E$132,"410",$DD$4:$DD$132)</f>
        <v>0</v>
      </c>
      <c r="DE140" s="130">
        <f>SUMIF($E$4:$E$132,"410",$DE$4:$DE$132)</f>
        <v>45427753</v>
      </c>
      <c r="DF140" s="130">
        <f>SUMIF($E$4:$E$132,"410",$DF$4:$DF$132)</f>
        <v>0</v>
      </c>
      <c r="DG140" s="130">
        <f>SUMIF($E$4:$E$132,"410",$DG$4:$DG$132)</f>
        <v>181391538</v>
      </c>
      <c r="DH140" s="130">
        <f>SUMIF($E$4:$E$132,"410",$DH$4:$DH$132)</f>
        <v>29964087</v>
      </c>
    </row>
    <row r="141" spans="1:112" ht="14.25" customHeight="1" x14ac:dyDescent="0.25">
      <c r="C141" s="132"/>
      <c r="D141" s="133" t="s">
        <v>377</v>
      </c>
      <c r="E141" s="114">
        <v>510</v>
      </c>
      <c r="F141" s="122"/>
      <c r="G141" s="123">
        <f>SUMIF($E$4:$E$132,"510",$G$4:$G$132)</f>
        <v>1025280977</v>
      </c>
      <c r="H141" s="124">
        <f>SUMIF($E$4:$E$132,"510",$H$4:$H$132)</f>
        <v>0</v>
      </c>
      <c r="I141" s="124">
        <f>SUMIF($E$4:$E$133,"510",$I$4:$I$133)</f>
        <v>0</v>
      </c>
      <c r="J141" s="123">
        <f>SUMIF($E$4:$E$132,"510",$J$4:$J$132)</f>
        <v>0</v>
      </c>
      <c r="K141" s="122">
        <f>SUMIF($E$4:$E$132,"510",$K$4:$K$132)</f>
        <v>801368554</v>
      </c>
      <c r="L141" s="122">
        <f>SUMIF($E$4:$E$132,"510",$L$4:$L$132)</f>
        <v>14004396</v>
      </c>
      <c r="M141" s="122">
        <f>SUMIF($E$4:$E$132,"510",$M$4:$M$132)</f>
        <v>0</v>
      </c>
      <c r="N141" s="122">
        <f>SUMIF($E$4:$E$132,"510",$N$4:$N$132)</f>
        <v>0</v>
      </c>
      <c r="O141" s="122">
        <f>SUMIF($E$4:$E$132,"510",$O$4:$O$132)</f>
        <v>0</v>
      </c>
      <c r="P141" s="122">
        <f>SUMIF($E$4:$E$132,"510",$P$4:$P$132)</f>
        <v>0</v>
      </c>
      <c r="Q141" s="122">
        <f>SUMIF($E$4:$E$132,"510",$Q$4:$Q$132)</f>
        <v>0</v>
      </c>
      <c r="R141" s="122">
        <f>SUMIF($E$4:$E$132,"510",$R$4:$R$132)</f>
        <v>0</v>
      </c>
      <c r="S141" s="122">
        <f>SUMIF($E$4:$E$132,"510",$S$4:$S$132)</f>
        <v>40431446</v>
      </c>
      <c r="T141" s="122">
        <f>SUMIF($E$4:$E$132,"510",$T$4:$T$132)</f>
        <v>1796640</v>
      </c>
      <c r="U141" s="122">
        <f>SUMIF($E$4:$E$132,"510",$U$4:$U$132)</f>
        <v>6000000</v>
      </c>
      <c r="V141" s="122">
        <f>SUMIF($E$4:$E$124,"510",$V$4:$V$124)</f>
        <v>0</v>
      </c>
      <c r="W141" s="122"/>
      <c r="X141" s="122">
        <f>SUMIF($E$4:$E$132,"510",$X$4:$X$132)</f>
        <v>0</v>
      </c>
      <c r="Y141" s="122">
        <f>SUMIF($E$4:$E$132,"510",$Y$4:$Y$132)</f>
        <v>0</v>
      </c>
      <c r="Z141" s="122">
        <f>SUMIF($E$4:$E$132,"510",$Z$4:$Z$132)</f>
        <v>161679941</v>
      </c>
      <c r="AA141" s="125">
        <f t="shared" si="170"/>
        <v>0.89414504664119987</v>
      </c>
      <c r="AB141" s="28">
        <f t="shared" si="171"/>
        <v>916749907</v>
      </c>
      <c r="AC141" s="123">
        <f>SUMIF($E$4:$E$132,"510",$AC$4:$AC$132)</f>
        <v>0</v>
      </c>
      <c r="AD141" s="123">
        <f>SUMIF($E$4:$E$132,"510",$AD$4:$AD$132)</f>
        <v>0</v>
      </c>
      <c r="AE141" s="123">
        <f>SUMIF($E$4:$E$132,"510",$AE$4:$AE$132)</f>
        <v>0</v>
      </c>
      <c r="AF141" s="123">
        <f>SUMIF($E$4:$E$132,"510",$AF$4:$AF$132)</f>
        <v>0</v>
      </c>
      <c r="AG141" s="123">
        <f>SUMIF($E$4:$E$132,"510",$AG$4:$AG$132)</f>
        <v>762817679</v>
      </c>
      <c r="AH141" s="123">
        <f>SUMIF($E$4:$E$132,"510",$AH$4:$AH$132)</f>
        <v>14004396</v>
      </c>
      <c r="AI141" s="123">
        <f>SUMIF($E$4:$E$132,"510",$AI$4:$AI$132)</f>
        <v>0</v>
      </c>
      <c r="AJ141" s="123">
        <f>SUMIF($E$4:$E$132,"510",$AJ$4:$AJ$132)</f>
        <v>0</v>
      </c>
      <c r="AK141" s="123">
        <f>SUMIF($E$4:$E$132,"510",$AK$4:$AK$132)</f>
        <v>0</v>
      </c>
      <c r="AL141" s="123">
        <f>SUMIF($E$4:$E$132,"510",$AL$4:$AL$132)</f>
        <v>0</v>
      </c>
      <c r="AM141" s="123">
        <f>SUMIF($E$4:$E$132,"510",$AM$4:$AM$132)</f>
        <v>0</v>
      </c>
      <c r="AN141" s="123">
        <f>SUMIF($E$4:$E$132,"510",$AN$4:$AN$132)</f>
        <v>0</v>
      </c>
      <c r="AO141" s="123">
        <f>SUMIF($E$4:$E$132,"510",$AO$4:$AO$132)</f>
        <v>23188762</v>
      </c>
      <c r="AP141" s="123">
        <f>SUMIF($E$4:$E$132,"510",$AP$4:$AP$132)</f>
        <v>1796640</v>
      </c>
      <c r="AQ141" s="123">
        <f>SUMIF($E$4:$E$132,"510",$AQ$4:$AQ$132)</f>
        <v>0</v>
      </c>
      <c r="AR141" s="123">
        <f>SUMIF($E$4:$E$132,"510",$AR$4:$AR$132)</f>
        <v>0</v>
      </c>
      <c r="AS141" s="123">
        <f>SUMIF($E$4:$E$132,"510",$AS$4:$AS$132)</f>
        <v>0</v>
      </c>
      <c r="AT141" s="123">
        <f>SUMIF($E$4:$E$132,"510",$AT$4:$AT$132)</f>
        <v>0</v>
      </c>
      <c r="AU141" s="123">
        <f>SUMIF($E$4:$E$132," 510",$AU$4:$AU$132)</f>
        <v>0</v>
      </c>
      <c r="AV141" s="123">
        <f>SUMIF($E$4:$E$132,"510",$AV$4:$AV$132)</f>
        <v>114942430</v>
      </c>
      <c r="AW141" s="108">
        <f t="shared" si="172"/>
        <v>0.10585495335880013</v>
      </c>
      <c r="AX141" s="28">
        <f t="shared" si="173"/>
        <v>108531070</v>
      </c>
      <c r="AY141" s="126">
        <f>SUMIF($E$4:$E$132,"510",$AY$4:$AY$132)</f>
        <v>0</v>
      </c>
      <c r="AZ141" s="126">
        <f>SUMIF($E$4:$E$132,"510",$AZ$4:$AZ$132)</f>
        <v>0</v>
      </c>
      <c r="BA141" s="126">
        <f>SUMIF($E$4:$E$132,"510",$BA$4:$BA$132)</f>
        <v>0</v>
      </c>
      <c r="BB141" s="126">
        <f>SUMIF($E$4:$E$132,"510",$BB$4:$BB$132)</f>
        <v>38550875</v>
      </c>
      <c r="BC141" s="126">
        <f>SUMIF($E$4:$E$132,"510",$BC$4:$BC$132)</f>
        <v>0</v>
      </c>
      <c r="BD141" s="126">
        <f>SUMIF($E$4:$E$132,"510",$BD$4:$BD$132)</f>
        <v>0</v>
      </c>
      <c r="BE141" s="126">
        <f>SUMIF($E$4:$E$132,"510",$BE$4:$BE$132)</f>
        <v>0</v>
      </c>
      <c r="BF141" s="126">
        <f>SUMIF($E$4:$E$132,"510",$BF$4:$BF$132)</f>
        <v>0</v>
      </c>
      <c r="BG141" s="126">
        <f>SUMIF($E$4:$E$132,"510",$BG$4:$BG$132)</f>
        <v>0</v>
      </c>
      <c r="BH141" s="126">
        <f>SUMIF($E$4:$E$132,"510",$BH$4:$BH$132)</f>
        <v>0</v>
      </c>
      <c r="BI141" s="126">
        <f>SUMIF($E$4:$E$132,"510",$BI$4:$BI$132)</f>
        <v>0</v>
      </c>
      <c r="BJ141" s="126">
        <f>SUMIF($E$4:$E$132,"510",$BJ$4:$BJ$132)</f>
        <v>17242684</v>
      </c>
      <c r="BK141" s="126">
        <f>SUMIF($E$4:$E$132,"510",$BK$4:$BK$132)</f>
        <v>0</v>
      </c>
      <c r="BL141" s="126">
        <f>SUMIF($E$4:$E$132,"510",$BL$4:$BL$132)</f>
        <v>6000000</v>
      </c>
      <c r="BM141" s="126">
        <f>SUMIF($E$4:$E$132,"520",$BM$4:$BM$132)</f>
        <v>0</v>
      </c>
      <c r="BN141" s="126"/>
      <c r="BO141" s="126">
        <f>SUMIF($E$4:$E$132,"510",$BO$4:$BO$132)</f>
        <v>0</v>
      </c>
      <c r="BP141" s="126">
        <f>SUMIF($E$4:$E$132,"510",$BP$4:$BP$132)</f>
        <v>0</v>
      </c>
      <c r="BQ141" s="127">
        <f>SUMIF($E$4:$E$132,"510",$BQ$4:$BQ$132)</f>
        <v>46737511</v>
      </c>
      <c r="BR141" s="128">
        <f t="shared" si="174"/>
        <v>0.83585766363048397</v>
      </c>
      <c r="BS141" s="28">
        <f t="shared" si="175"/>
        <v>856988962</v>
      </c>
      <c r="BT141" s="123">
        <f>SUMIF($E$4:$E$132,"510",$BT$4:$BT$132)</f>
        <v>0</v>
      </c>
      <c r="BU141" s="123">
        <f>SUMIF($E$4:$E$132,"510",$BU$4:$BU$132)</f>
        <v>0</v>
      </c>
      <c r="BV141" s="123">
        <f>SUMIF($E$4:$E$132,"510",$BV$4:$BV$132)</f>
        <v>0</v>
      </c>
      <c r="BW141" s="123">
        <f>SUMIF($E$4:$E$132,"510",$BW$4:$BW$132)</f>
        <v>0</v>
      </c>
      <c r="BX141" s="123">
        <f>SUMIF($E$4:$E$132,"510",$BX$4:$BX$132)</f>
        <v>717689668</v>
      </c>
      <c r="BY141" s="123">
        <f>SUMIF($E$4:$E$132,"510",$BY$4:$BY$132)</f>
        <v>14004396</v>
      </c>
      <c r="BZ141" s="123">
        <f>SUMIF($E$4:$E$132,"510",$BZ$4:$BZ$132)</f>
        <v>0</v>
      </c>
      <c r="CA141" s="123">
        <f>SUMIF($E$4:$E$132,"510",$CA$4:$CA$132)</f>
        <v>0</v>
      </c>
      <c r="CB141" s="123">
        <f>SUMIF($E$4:$E$132,"510",$CB$4:$CB$132)</f>
        <v>0</v>
      </c>
      <c r="CC141" s="123">
        <f>SUMIF($E$4:$E$132,"510",$CC$4:$CC$132)</f>
        <v>0</v>
      </c>
      <c r="CD141" s="123">
        <f>SUMIF($E$4:$E$132,"510",$CD$4:$CD$132)</f>
        <v>0</v>
      </c>
      <c r="CE141" s="123">
        <f>SUMIF($E$4:$E$132,"510",$CE$4:$CE$132)</f>
        <v>0</v>
      </c>
      <c r="CF141" s="123">
        <f>SUMIF($E$4:$E$132,"510",$CF$4:$CF$132)</f>
        <v>23178230</v>
      </c>
      <c r="CG141" s="123">
        <f>SUMIF($E$4:$E$132,"510",$CG$4:$CG$132)</f>
        <v>1796640</v>
      </c>
      <c r="CH141" s="123">
        <f>SUMIF($E$4:$E$132,"510",$CH$4:$CH$132)</f>
        <v>0</v>
      </c>
      <c r="CI141" s="123">
        <f>SUMIF($E$4:$E$132,"510",$CI$4:$CI$132)</f>
        <v>0</v>
      </c>
      <c r="CJ141" s="123">
        <f>SUMIF($E$4:$E$132,"111",$CJ$4:$CJ$132)</f>
        <v>0</v>
      </c>
      <c r="CK141" s="123">
        <f>SUMIF($E$4:$E$132,"510",$CK$4:$CK$132)</f>
        <v>0</v>
      </c>
      <c r="CL141" s="123">
        <f>SUMIF($E$4:$E$132,"510",$CL$4:$CL$132)</f>
        <v>0</v>
      </c>
      <c r="CM141" s="129">
        <f>SUMIF($E$4:$E$132,"510",$CM$4:$CM$132)</f>
        <v>100320028</v>
      </c>
      <c r="CN141" s="25">
        <f t="shared" si="176"/>
        <v>0.16414233636951603</v>
      </c>
      <c r="CO141" s="28">
        <f t="shared" si="177"/>
        <v>168292015</v>
      </c>
      <c r="CP141" s="126">
        <f>SUMIF($E$4:$E$132,"510",$CP$4:$CP$132)</f>
        <v>0</v>
      </c>
      <c r="CQ141" s="126">
        <f>SUMIF($E$4:$E$132,"510",$CQ$4:$CQ$132)</f>
        <v>0</v>
      </c>
      <c r="CR141" s="126">
        <f>SUMIF($E$4:$E$132,"510",$CR$4:$CR$132)</f>
        <v>0</v>
      </c>
      <c r="CS141" s="126">
        <f>SUMIF($E$4:$E$132,"510",$CS$4:$CS$132)</f>
        <v>83678886</v>
      </c>
      <c r="CT141" s="126">
        <f>SUMIF($E$4:$E$132,"510",$CT$4:$CT$132)</f>
        <v>0</v>
      </c>
      <c r="CU141" s="126">
        <f>SUMIF($E$4:$E$132,"510",$CU$4:$CU$132)</f>
        <v>0</v>
      </c>
      <c r="CV141" s="130">
        <f>SUMIF($E$4:$E$132,"510",$CV$4:$CV$132)</f>
        <v>0</v>
      </c>
      <c r="CW141" s="130">
        <f>SUMIF($E$4:$E$132,"510",$CW$4:$CW$132)</f>
        <v>0</v>
      </c>
      <c r="CX141" s="130">
        <f>SUMIF($E$4:$E$132,"510",$CX$4:$CX$132)</f>
        <v>0</v>
      </c>
      <c r="CY141" s="130">
        <f>SUMIF($E$4:$E$132,"510",$CY$4:$CY$132)</f>
        <v>0</v>
      </c>
      <c r="CZ141" s="130">
        <f>SUMIF($E$4:$E$132,"510",$CZ$4:$CZ$132)</f>
        <v>0</v>
      </c>
      <c r="DA141" s="130">
        <f>SUMIF($E$4:$E$132,"510",$DA$4:$DA$132)</f>
        <v>17253216</v>
      </c>
      <c r="DB141" s="130">
        <f>SUMIF($E$4:$E$132,"510",$DB$4:$DB$132)</f>
        <v>0</v>
      </c>
      <c r="DC141" s="130">
        <f>SUMIF($E$4:$E$132,"510",$DC$4:$DC$132)</f>
        <v>6000000</v>
      </c>
      <c r="DD141" s="130">
        <f>SUMIF($E$4:$E$132,"510",$DD$4:$DD$132)</f>
        <v>0</v>
      </c>
      <c r="DE141" s="130">
        <f>SUMIF($E$4:$E$132,"510",$DE$4:$DE$132)</f>
        <v>0</v>
      </c>
      <c r="DF141" s="130">
        <f>SUMIF($E$4:$E$132,"510",$DF$4:$DF$132)</f>
        <v>0</v>
      </c>
      <c r="DG141" s="130">
        <f>SUMIF($E$4:$E$132,"510",$DG$4:$DG$132)</f>
        <v>0</v>
      </c>
      <c r="DH141" s="130">
        <f>SUMIF($E$4:$E$132,"510",$DH$4:$DH$132)</f>
        <v>61359913</v>
      </c>
    </row>
    <row r="142" spans="1:112" x14ac:dyDescent="0.25">
      <c r="C142" s="132"/>
      <c r="D142" s="121" t="s">
        <v>378</v>
      </c>
      <c r="E142" s="114">
        <v>520</v>
      </c>
      <c r="F142" s="122"/>
      <c r="G142" s="123">
        <f>SUMIF($E$4:$E$132,"520",$G$4:$G$132)</f>
        <v>1760134547</v>
      </c>
      <c r="H142" s="124">
        <f>SUMIF($E$4:$E$132,"520",$H$4:$H$132)</f>
        <v>0</v>
      </c>
      <c r="I142" s="124">
        <f>SUMIF($E$4:$E$132,"520",$I$4:$I$132)</f>
        <v>0</v>
      </c>
      <c r="J142" s="123">
        <f>SUMIF($E$4:$E$132,"520",$J$4:$J$132)</f>
        <v>0</v>
      </c>
      <c r="K142" s="122">
        <f>SUMIF($E$4:$E$132,"520",$K$4:$K$132)</f>
        <v>520000000</v>
      </c>
      <c r="L142" s="122">
        <f>SUMIF($E$4:$E$132,"520",$L$4:$L$132)</f>
        <v>50000000</v>
      </c>
      <c r="M142" s="122">
        <f>SUMIF($E$4:$E$132,"520",$M$4:$M$132)</f>
        <v>0</v>
      </c>
      <c r="N142" s="122">
        <f>SUMIF($E$4:$E$132,"520",$N$4:$N$132)</f>
        <v>0</v>
      </c>
      <c r="O142" s="122">
        <f>SUMIF($E$4:$E$132,"520",$O$4:$O$132)</f>
        <v>0</v>
      </c>
      <c r="P142" s="122">
        <f>SUMIF($E$4:$E$132,"520",$P$4:$P$132)</f>
        <v>0</v>
      </c>
      <c r="Q142" s="122">
        <f>SUMIF($E$4:$E$132,"520",$Q$4:$Q$132)</f>
        <v>0</v>
      </c>
      <c r="R142" s="122">
        <f>SUMIF($E$4:$E$132,"520",$R$4:$R$132)</f>
        <v>244000000</v>
      </c>
      <c r="S142" s="122">
        <f>SUMIF($E$4:$E$132,"520",$S$4:$S$132)</f>
        <v>333901442</v>
      </c>
      <c r="T142" s="122">
        <f>SUMIF($E$4:$E$132,"520",$T$4:$T$132)</f>
        <v>0</v>
      </c>
      <c r="U142" s="122">
        <f>SUMIF($E$4:$E$132,"520",$U$4:$U$132)</f>
        <v>0</v>
      </c>
      <c r="V142" s="122">
        <f>SUMIF($E$4:$E$124,"520",$V$4:$V$124)</f>
        <v>0</v>
      </c>
      <c r="W142" s="122"/>
      <c r="X142" s="122">
        <f>SUMIF($E$4:$E$132,"520",$X$4:$X$132)</f>
        <v>0</v>
      </c>
      <c r="Y142" s="122">
        <f>SUMIF($E$4:$E$132,"520",$Y$4:$Y$132)</f>
        <v>0</v>
      </c>
      <c r="Z142" s="122">
        <f>SUMIF($E$4:$E$132,"520",$Z$4:$Z$132)</f>
        <v>612233105</v>
      </c>
      <c r="AA142" s="125">
        <f t="shared" si="170"/>
        <v>0.83588880890251627</v>
      </c>
      <c r="AB142" s="28">
        <f t="shared" si="171"/>
        <v>1471276770</v>
      </c>
      <c r="AC142" s="123">
        <f>SUMIF($E$4:$E$132,"520",$AC$4:$AC$132)</f>
        <v>0</v>
      </c>
      <c r="AD142" s="123">
        <f>SUMIF($E$4:$E$132,"520",$AD$4:$AD$132)</f>
        <v>0</v>
      </c>
      <c r="AE142" s="123">
        <f>SUMIF($E$4:$E$132,"520",$AE$4:$AE$132)</f>
        <v>0</v>
      </c>
      <c r="AF142" s="123">
        <f>SUMIF($E$4:$E$132,"520",$AF$4:$AF$132)</f>
        <v>0</v>
      </c>
      <c r="AG142" s="123">
        <f>SUMIF($E$4:$E$132,"520",$AG$4:$AG$132)</f>
        <v>396302174</v>
      </c>
      <c r="AH142" s="123">
        <f>SUMIF($E$4:$E$132,"520",$AH$4:$AH$132)</f>
        <v>49797725</v>
      </c>
      <c r="AI142" s="123">
        <f>SUMIF($E$4:$E$132,"520",$AI$4:$AI$132)</f>
        <v>0</v>
      </c>
      <c r="AJ142" s="123">
        <f>SUMIF($E$4:$E$132,"520",$AJ$4:$AJ$132)</f>
        <v>0</v>
      </c>
      <c r="AK142" s="123">
        <f>SUMIF($E$4:$E$132,"520",$AK$4:$AK$132)</f>
        <v>0</v>
      </c>
      <c r="AL142" s="123">
        <f>SUMIF($E$4:$E$132,"520",$AL$4:$AL$132)</f>
        <v>0</v>
      </c>
      <c r="AM142" s="123">
        <f>SUMIF($E$4:$E$132,"520",$AM$4:$AM$132)</f>
        <v>0</v>
      </c>
      <c r="AN142" s="123">
        <f>SUMIF($E$4:$E$132,"520",$AN$4:$AN$132)</f>
        <v>187101991</v>
      </c>
      <c r="AO142" s="123">
        <f>SUMIF($E$4:$E$132,"520",$AO$4:$AO$132)</f>
        <v>292539894</v>
      </c>
      <c r="AP142" s="123">
        <f>SUMIF($E$4:$E$132,"520",$AP$4:$AP$132)</f>
        <v>0</v>
      </c>
      <c r="AQ142" s="123">
        <f>SUMIF($E$4:$E$132,"520",$AQ$4:$AQ$132)</f>
        <v>0</v>
      </c>
      <c r="AR142" s="123">
        <f>SUMIF($E$4:$E$132,"520",$AR$4:$AR$132)</f>
        <v>0</v>
      </c>
      <c r="AS142" s="123">
        <f>SUMIF($E$4:$E$132,"520",$AS$4:$AS$132)</f>
        <v>0</v>
      </c>
      <c r="AT142" s="123">
        <f>SUMIF($E$4:$E$132,"520",$AT$4:$AT$132)</f>
        <v>0</v>
      </c>
      <c r="AU142" s="123">
        <f>SUMIF($E$4:$E$132,"520",$AU$4:$AU$132)</f>
        <v>0</v>
      </c>
      <c r="AV142" s="123">
        <f>SUMIF($E$4:$E$132,"520",$AV$4:$AV$132)</f>
        <v>545534986</v>
      </c>
      <c r="AW142" s="108">
        <f t="shared" si="172"/>
        <v>0.16411119109748373</v>
      </c>
      <c r="AX142" s="28">
        <f t="shared" si="173"/>
        <v>288857777</v>
      </c>
      <c r="AY142" s="126">
        <f>SUMIF($E$4:$E$132,"520",$AY$4:$AY$132)</f>
        <v>0</v>
      </c>
      <c r="AZ142" s="126">
        <f>SUMIF($E$4:$E$132,"520",$AZ$4:$AZ$132)</f>
        <v>0</v>
      </c>
      <c r="BA142" s="126">
        <f>SUMIF($E$4:$E$132,"520",$BA$4:$BA$132)</f>
        <v>0</v>
      </c>
      <c r="BB142" s="126">
        <f>SUMIF($E$4:$E$132,"520",$BB$4:$BB$132)</f>
        <v>123697826</v>
      </c>
      <c r="BC142" s="126">
        <f>SUMIF($E$4:$E$132,"520",$BC$4:$BC$132)</f>
        <v>202275</v>
      </c>
      <c r="BD142" s="126">
        <f>SUMIF($E$4:$E$132,"520",$BD$4:$BD$132)</f>
        <v>0</v>
      </c>
      <c r="BE142" s="126">
        <f>SUMIF($E$4:$E$132,"520",$BE$4:$BE$132)</f>
        <v>0</v>
      </c>
      <c r="BF142" s="126">
        <f>SUMIF($E$4:$E$132,"520",$BF$4:$BF$132)</f>
        <v>0</v>
      </c>
      <c r="BG142" s="126">
        <f>SUMIF($E$4:$E$132,"520",$BG$4:$BG$132)</f>
        <v>0</v>
      </c>
      <c r="BH142" s="126">
        <f>SUMIF($E$4:$E$132,"520",$BH$4:$BH$132)</f>
        <v>0</v>
      </c>
      <c r="BI142" s="126">
        <f>SUMIF($E$4:$E$132,"520",$BI$4:$BI$132)</f>
        <v>56898009</v>
      </c>
      <c r="BJ142" s="126">
        <f>SUMIF($E$4:$E$132,"520",$BJ$4:$BJ$132)</f>
        <v>41361548</v>
      </c>
      <c r="BK142" s="126">
        <f>SUMIF($E$4:$E$132,"520",$BK$4:$BK$132)</f>
        <v>0</v>
      </c>
      <c r="BL142" s="126">
        <f>SUMIF($E$4:$E$132,"520",$BL$4:$BL$132)</f>
        <v>0</v>
      </c>
      <c r="BM142" s="126">
        <f>SUMIF($E$4:$E$132,"111",$BM$4:$BM$132)</f>
        <v>0</v>
      </c>
      <c r="BN142" s="126"/>
      <c r="BO142" s="126">
        <f>SUMIF($E$4:$E$132,"520",$BO$4:$BO$132)</f>
        <v>0</v>
      </c>
      <c r="BP142" s="126">
        <f>SUMIF($E$4:$E$132,"520",$BP$4:$BP$132)</f>
        <v>0</v>
      </c>
      <c r="BQ142" s="127">
        <f>SUMIF($E$4:$E$132,"520",$BQ$4:$BQ$132)</f>
        <v>66698119</v>
      </c>
      <c r="BR142" s="128">
        <f t="shared" si="174"/>
        <v>0.80967760358379015</v>
      </c>
      <c r="BS142" s="28">
        <f t="shared" si="175"/>
        <v>1425141522</v>
      </c>
      <c r="BT142" s="123">
        <f>SUMIF($E$4:$E$132,"520",$BT$4:$BT$132)</f>
        <v>0</v>
      </c>
      <c r="BU142" s="123">
        <f>SUMIF($E$4:$E$132,"520",$BU$4:$BU$132)</f>
        <v>0</v>
      </c>
      <c r="BV142" s="123">
        <f>SUMIF($E$4:$E$132,"520",$BV$4:$BV$132)</f>
        <v>0</v>
      </c>
      <c r="BW142" s="123">
        <f>SUMIF($E$4:$E$132,"520",$BW$4:$BW$132)</f>
        <v>0</v>
      </c>
      <c r="BX142" s="123">
        <f>SUMIF($E$4:$E$132,"520",$BX$4:$BX$132)</f>
        <v>363309545</v>
      </c>
      <c r="BY142" s="123">
        <f>SUMIF($E$4:$E$132,"520",$BY$4:$BY$132)</f>
        <v>49797725</v>
      </c>
      <c r="BZ142" s="123">
        <f>SUMIF($E$4:$E$132,"520",$BZ$4:$BZ$132)</f>
        <v>0</v>
      </c>
      <c r="CA142" s="123">
        <f>SUMIF($E$4:$E$132,"520",$CA$4:$CA$132)</f>
        <v>0</v>
      </c>
      <c r="CB142" s="123">
        <f>SUMIF($E$4:$E$132,"520",$CB$4:$CB$132)</f>
        <v>0</v>
      </c>
      <c r="CC142" s="123">
        <f>SUMIF($E$4:$E$132,"520",$CC$4:$CC$132)</f>
        <v>0</v>
      </c>
      <c r="CD142" s="123">
        <f>SUMIF($E$4:$E$132,"520",$CD$4:$CD$132)</f>
        <v>0</v>
      </c>
      <c r="CE142" s="123">
        <f>SUMIF($E$4:$E$132,"520",$CE$4:$CE$132)</f>
        <v>185375614</v>
      </c>
      <c r="CF142" s="123">
        <f>SUMIF($E$4:$E$132,"520",$CF$4:$CF$132)</f>
        <v>289592456</v>
      </c>
      <c r="CG142" s="123">
        <f>SUMIF($E$4:$E$132,"520",$CG$4:$CG$132)</f>
        <v>0</v>
      </c>
      <c r="CH142" s="123">
        <f>SUMIF($E$4:$E$132,"520",$CH$4:$CH$132)</f>
        <v>0</v>
      </c>
      <c r="CI142" s="123">
        <f>SUMIF($E$4:$E$132,"520",$CI$4:$CI$132)</f>
        <v>0</v>
      </c>
      <c r="CJ142" s="123">
        <f>SUMIF($E$4:$E$132,"111",$CJ$4:$CJ$132)</f>
        <v>0</v>
      </c>
      <c r="CK142" s="123">
        <f>SUMIF($E$4:$E$132,"520",$CK$4:$CK$132)</f>
        <v>0</v>
      </c>
      <c r="CL142" s="123">
        <f>SUMIF($E$4:$E$132,"520",$CL$4:$CL$132)</f>
        <v>0</v>
      </c>
      <c r="CM142" s="129">
        <f>SUMIF($E$4:$E$132,"520",$CM$4:$CM$132)</f>
        <v>537066182</v>
      </c>
      <c r="CN142" s="25">
        <f t="shared" si="176"/>
        <v>0.19032239641620985</v>
      </c>
      <c r="CO142" s="28">
        <f t="shared" si="177"/>
        <v>334993025</v>
      </c>
      <c r="CP142" s="126">
        <f>SUMIF($E$4:$E$132,"520",$CP$4:$CP$132)</f>
        <v>0</v>
      </c>
      <c r="CQ142" s="126">
        <f>SUMIF($E$4:$E$132,"520",$CQ$4:$CQ$132)</f>
        <v>0</v>
      </c>
      <c r="CR142" s="126">
        <f>SUMIF($E$4:$E$132,"520",$CR$4:$CR$132)</f>
        <v>0</v>
      </c>
      <c r="CS142" s="126">
        <f>SUMIF($E$4:$E$132,"520",$CS$4:$CS$132)</f>
        <v>156690455</v>
      </c>
      <c r="CT142" s="126">
        <f>SUMIF($E$4:$E$132,"520",$CT$4:$CT$132)</f>
        <v>202275</v>
      </c>
      <c r="CU142" s="126">
        <f>SUMIF($E$4:$E$132,"520",$CU$4:$CU$132)</f>
        <v>0</v>
      </c>
      <c r="CV142" s="130">
        <f>SUMIF($E$4:$E$132,"520",$CV$4:$CV$132)</f>
        <v>0</v>
      </c>
      <c r="CW142" s="130">
        <f>SUMIF($E$4:$E$132,"520",$CW$4:$CW$132)</f>
        <v>0</v>
      </c>
      <c r="CX142" s="130">
        <f>SUMIF($E$4:$E$132,"520",$CX$4:$CX$132)</f>
        <v>0</v>
      </c>
      <c r="CY142" s="130">
        <f>SUMIF($E$4:$E$132,"520",$CY$4:$CY$132)</f>
        <v>0</v>
      </c>
      <c r="CZ142" s="130">
        <f>SUMIF($E$4:$E$132,"520",$CZ$4:$CZ$132)</f>
        <v>58624386</v>
      </c>
      <c r="DA142" s="130">
        <f>SUMIF($E$4:$E$132,"520",$DA$4:$DA$132)</f>
        <v>44308986</v>
      </c>
      <c r="DB142" s="130">
        <f>SUMIF($E$4:$E$132,"520",$DB$4:$DB$132)</f>
        <v>0</v>
      </c>
      <c r="DC142" s="130">
        <f>SUMIF($E$4:$E$132,"520",$DC$4:$DC$132)</f>
        <v>0</v>
      </c>
      <c r="DD142" s="130">
        <f>SUMIF($E$4:$E$132,"520",$DD$4:$DD$132)</f>
        <v>0</v>
      </c>
      <c r="DE142" s="130">
        <f>SUMIF($E$4:$E$132,"520",$DE$4:$DE$132)</f>
        <v>0</v>
      </c>
      <c r="DF142" s="130">
        <f>SUMIF($E$4:$E$132,"520",$DF$4:$DF$132)</f>
        <v>0</v>
      </c>
      <c r="DG142" s="130">
        <f>SUMIF($E$4:$E$132,"520",$DG$4:$DG$132)</f>
        <v>0</v>
      </c>
      <c r="DH142" s="130">
        <f>SUMIF($E$4:$E$132,"520",$DH$4:$DH$132)</f>
        <v>75166923</v>
      </c>
    </row>
    <row r="143" spans="1:112" x14ac:dyDescent="0.25">
      <c r="C143" s="132"/>
      <c r="D143" s="121" t="s">
        <v>379</v>
      </c>
      <c r="E143" s="114" t="s">
        <v>351</v>
      </c>
      <c r="F143" s="122"/>
      <c r="G143" s="123">
        <f>SUMIF($E$4:$E$132,"520-2",$G$4:$G$132)</f>
        <v>3185000000</v>
      </c>
      <c r="H143" s="124"/>
      <c r="I143" s="124"/>
      <c r="J143" s="124"/>
      <c r="K143" s="124"/>
      <c r="L143" s="124"/>
      <c r="M143" s="124"/>
      <c r="N143" s="124"/>
      <c r="O143" s="124"/>
      <c r="P143" s="124"/>
      <c r="Q143" s="124"/>
      <c r="R143" s="124"/>
      <c r="S143" s="124"/>
      <c r="T143" s="122">
        <f>SUMIF($E$4:$E$132,"520-2",$T$4:$T$132)</f>
        <v>485000000</v>
      </c>
      <c r="U143" s="124"/>
      <c r="V143" s="124"/>
      <c r="W143" s="124"/>
      <c r="X143" s="122">
        <f>SUMIF($E$4:$E$132,"520-2",$X$4:$X$132)</f>
        <v>2700000000</v>
      </c>
      <c r="Y143" s="124"/>
      <c r="Z143" s="122">
        <f>SUMIF($E$4:$E$132,"520-2",$Z$4:$Z$132)</f>
        <v>0</v>
      </c>
      <c r="AA143" s="125">
        <f t="shared" si="170"/>
        <v>0.89515172433281009</v>
      </c>
      <c r="AB143" s="28">
        <f t="shared" si="171"/>
        <v>2851058242</v>
      </c>
      <c r="AC143" s="123"/>
      <c r="AD143" s="123"/>
      <c r="AE143" s="123"/>
      <c r="AF143" s="123"/>
      <c r="AG143" s="123"/>
      <c r="AH143" s="123"/>
      <c r="AI143" s="123"/>
      <c r="AJ143" s="123"/>
      <c r="AK143" s="123"/>
      <c r="AL143" s="123"/>
      <c r="AM143" s="123"/>
      <c r="AN143" s="123"/>
      <c r="AO143" s="123"/>
      <c r="AP143" s="123">
        <f>SUMIF($E$4:$E$132,"520-2",$AP$4:$AP$132)</f>
        <v>451915027</v>
      </c>
      <c r="AQ143" s="123"/>
      <c r="AR143" s="123"/>
      <c r="AS143" s="123">
        <f>SUMIF($E$4:$E$132,"520-2",$AS$4:$AS$132)</f>
        <v>0</v>
      </c>
      <c r="AT143" s="123">
        <f>SUMIF($E$4:$E$132,"520-2",$AT$4:$AT$132)</f>
        <v>2399143215</v>
      </c>
      <c r="AU143" s="123"/>
      <c r="AV143" s="123"/>
      <c r="AW143" s="108">
        <f t="shared" si="172"/>
        <v>0.10484827566718991</v>
      </c>
      <c r="AX143" s="28">
        <f t="shared" si="173"/>
        <v>333941758</v>
      </c>
      <c r="AY143" s="126"/>
      <c r="AZ143" s="126"/>
      <c r="BA143" s="126"/>
      <c r="BB143" s="126"/>
      <c r="BC143" s="126"/>
      <c r="BD143" s="126"/>
      <c r="BE143" s="126"/>
      <c r="BF143" s="126"/>
      <c r="BG143" s="126"/>
      <c r="BH143" s="126"/>
      <c r="BI143" s="126"/>
      <c r="BJ143" s="126"/>
      <c r="BK143" s="126">
        <f>SUMIF($E$4:$E$132,"520-2",$BK$4:$BK$132)</f>
        <v>33084973</v>
      </c>
      <c r="BL143" s="126"/>
      <c r="BM143" s="126"/>
      <c r="BN143" s="126"/>
      <c r="BO143" s="126">
        <f>SUMIF($E$4:$E$132,"520-2",$BO$4:$BO$132)</f>
        <v>300856785</v>
      </c>
      <c r="BP143" s="126"/>
      <c r="BQ143" s="127"/>
      <c r="BR143" s="128">
        <f t="shared" si="174"/>
        <v>0.27659845714285713</v>
      </c>
      <c r="BS143" s="28">
        <f>SUM(BT143:CM143)</f>
        <v>880966086</v>
      </c>
      <c r="BT143" s="129"/>
      <c r="BU143" s="129"/>
      <c r="BV143" s="129"/>
      <c r="BW143" s="129"/>
      <c r="BX143" s="123"/>
      <c r="BY143" s="123"/>
      <c r="BZ143" s="123"/>
      <c r="CA143" s="123"/>
      <c r="CB143" s="123"/>
      <c r="CC143" s="123"/>
      <c r="CD143" s="123"/>
      <c r="CE143" s="123"/>
      <c r="CF143" s="123"/>
      <c r="CG143" s="123">
        <f>SUMIF($E$4:$E$132,"520-2",$CG$4:$CG$132)</f>
        <v>451915027</v>
      </c>
      <c r="CH143" s="123"/>
      <c r="CI143" s="123"/>
      <c r="CJ143" s="123">
        <f>SUMIF($E$4:$E$132,"111",$CJ$4:$CJ$132)</f>
        <v>0</v>
      </c>
      <c r="CK143" s="123">
        <f>SUMIF($E$4:$E$132,"520-2",$CK$4:$CK$132)</f>
        <v>429051059</v>
      </c>
      <c r="CL143" s="123"/>
      <c r="CM143" s="129"/>
      <c r="CN143" s="25">
        <f t="shared" si="176"/>
        <v>0.72340154285714287</v>
      </c>
      <c r="CO143" s="28">
        <f t="shared" si="177"/>
        <v>2304033914</v>
      </c>
      <c r="CP143" s="127"/>
      <c r="CQ143" s="127"/>
      <c r="CR143" s="127"/>
      <c r="CS143" s="126"/>
      <c r="CT143" s="126"/>
      <c r="CU143" s="126"/>
      <c r="CV143" s="130"/>
      <c r="CW143" s="130"/>
      <c r="CX143" s="130"/>
      <c r="CY143" s="130"/>
      <c r="CZ143" s="130"/>
      <c r="DA143" s="130"/>
      <c r="DB143" s="130">
        <f>SUMIF($E$4:$E$132,"520-2",$DB$4:$DB$132)</f>
        <v>33084973</v>
      </c>
      <c r="DC143" s="130"/>
      <c r="DD143" s="130"/>
      <c r="DE143" s="130">
        <f>SUMIF($E$4:$E$132,"520-2",$DE$4:$DE$132)</f>
        <v>0</v>
      </c>
      <c r="DF143" s="130">
        <f>SUMIF($E$4:$E$132,"520-2",$DF$4:$DF$132)</f>
        <v>2270948941</v>
      </c>
      <c r="DG143" s="130"/>
      <c r="DH143" s="130"/>
    </row>
    <row r="144" spans="1:112" x14ac:dyDescent="0.25">
      <c r="C144" s="132"/>
      <c r="D144" s="121" t="s">
        <v>380</v>
      </c>
      <c r="E144" s="134"/>
      <c r="F144" s="135"/>
      <c r="G144" s="136">
        <f t="shared" ref="G144:Z144" si="178">SUM(G137:G143)</f>
        <v>22012908151</v>
      </c>
      <c r="H144" s="136">
        <f t="shared" si="178"/>
        <v>0</v>
      </c>
      <c r="I144" s="136">
        <f t="shared" si="178"/>
        <v>10070925003</v>
      </c>
      <c r="J144" s="136">
        <f t="shared" si="178"/>
        <v>171003327</v>
      </c>
      <c r="K144" s="136">
        <f t="shared" si="178"/>
        <v>1899736650</v>
      </c>
      <c r="L144" s="136">
        <f t="shared" si="178"/>
        <v>138372986</v>
      </c>
      <c r="M144" s="136">
        <f t="shared" si="178"/>
        <v>54387</v>
      </c>
      <c r="N144" s="136">
        <f t="shared" si="178"/>
        <v>30665828</v>
      </c>
      <c r="O144" s="136">
        <f t="shared" si="178"/>
        <v>1940856</v>
      </c>
      <c r="P144" s="136">
        <f t="shared" si="178"/>
        <v>3438802</v>
      </c>
      <c r="Q144" s="136">
        <f t="shared" si="178"/>
        <v>345941457</v>
      </c>
      <c r="R144" s="136">
        <f t="shared" si="178"/>
        <v>2094582849</v>
      </c>
      <c r="S144" s="136">
        <f t="shared" si="178"/>
        <v>1142029623</v>
      </c>
      <c r="T144" s="136">
        <f t="shared" si="178"/>
        <v>486796640</v>
      </c>
      <c r="U144" s="136">
        <f t="shared" si="178"/>
        <v>1060833768</v>
      </c>
      <c r="V144" s="136">
        <f t="shared" si="178"/>
        <v>0</v>
      </c>
      <c r="W144" s="136">
        <f t="shared" si="178"/>
        <v>51295383</v>
      </c>
      <c r="X144" s="136">
        <f t="shared" si="178"/>
        <v>2700000000</v>
      </c>
      <c r="Y144" s="136">
        <f t="shared" si="178"/>
        <v>204741836</v>
      </c>
      <c r="Z144" s="136">
        <f t="shared" si="178"/>
        <v>1610548756</v>
      </c>
      <c r="AA144" s="125">
        <f t="shared" si="170"/>
        <v>0.74594419961971525</v>
      </c>
      <c r="AB144" s="136">
        <f t="shared" ref="AB144:AV144" si="179">SUM(AB137:AB143)</f>
        <v>16420401152</v>
      </c>
      <c r="AC144" s="136">
        <f t="shared" si="179"/>
        <v>0</v>
      </c>
      <c r="AD144" s="136">
        <f t="shared" si="179"/>
        <v>0</v>
      </c>
      <c r="AE144" s="136">
        <f t="shared" si="179"/>
        <v>6640335408</v>
      </c>
      <c r="AF144" s="136">
        <f t="shared" si="179"/>
        <v>147809410</v>
      </c>
      <c r="AG144" s="136">
        <f t="shared" si="179"/>
        <v>1617714455</v>
      </c>
      <c r="AH144" s="136">
        <f t="shared" si="179"/>
        <v>106863498</v>
      </c>
      <c r="AI144" s="136">
        <f t="shared" si="179"/>
        <v>0</v>
      </c>
      <c r="AJ144" s="136">
        <f t="shared" si="179"/>
        <v>0</v>
      </c>
      <c r="AK144" s="136">
        <f t="shared" si="179"/>
        <v>0</v>
      </c>
      <c r="AL144" s="136">
        <f t="shared" si="179"/>
        <v>300000</v>
      </c>
      <c r="AM144" s="136">
        <f t="shared" si="179"/>
        <v>164856575</v>
      </c>
      <c r="AN144" s="136">
        <f t="shared" si="179"/>
        <v>1974981668</v>
      </c>
      <c r="AO144" s="136">
        <f t="shared" si="179"/>
        <v>885432962</v>
      </c>
      <c r="AP144" s="136">
        <f t="shared" si="179"/>
        <v>453711667</v>
      </c>
      <c r="AQ144" s="136">
        <f t="shared" si="179"/>
        <v>910591170</v>
      </c>
      <c r="AR144" s="136">
        <f t="shared" si="179"/>
        <v>0</v>
      </c>
      <c r="AS144" s="136">
        <f t="shared" si="179"/>
        <v>51295383</v>
      </c>
      <c r="AT144" s="136">
        <f t="shared" si="179"/>
        <v>2399143215</v>
      </c>
      <c r="AU144" s="136">
        <f t="shared" si="179"/>
        <v>114321836</v>
      </c>
      <c r="AV144" s="136">
        <f t="shared" si="179"/>
        <v>953043905</v>
      </c>
      <c r="AW144" s="108">
        <f t="shared" si="172"/>
        <v>0.25405580038028475</v>
      </c>
      <c r="AX144" s="137">
        <f t="shared" ref="AX144:BQ144" si="180">SUM(AX137:AX143)</f>
        <v>5592506999</v>
      </c>
      <c r="AY144" s="137">
        <f t="shared" si="180"/>
        <v>0</v>
      </c>
      <c r="AZ144" s="137">
        <f t="shared" si="180"/>
        <v>3430589595</v>
      </c>
      <c r="BA144" s="137">
        <f t="shared" si="180"/>
        <v>23193917</v>
      </c>
      <c r="BB144" s="137">
        <f t="shared" si="180"/>
        <v>282022195</v>
      </c>
      <c r="BC144" s="137">
        <f t="shared" si="180"/>
        <v>31509488</v>
      </c>
      <c r="BD144" s="137">
        <f t="shared" si="180"/>
        <v>54387</v>
      </c>
      <c r="BE144" s="137">
        <f t="shared" si="180"/>
        <v>30665828</v>
      </c>
      <c r="BF144" s="137">
        <f t="shared" si="180"/>
        <v>1940856</v>
      </c>
      <c r="BG144" s="137">
        <f t="shared" si="180"/>
        <v>3138802</v>
      </c>
      <c r="BH144" s="137">
        <f t="shared" si="180"/>
        <v>181084882</v>
      </c>
      <c r="BI144" s="137">
        <f t="shared" si="180"/>
        <v>119601181</v>
      </c>
      <c r="BJ144" s="137">
        <f t="shared" si="180"/>
        <v>256596661</v>
      </c>
      <c r="BK144" s="137">
        <f t="shared" si="180"/>
        <v>33084973</v>
      </c>
      <c r="BL144" s="137">
        <f t="shared" si="180"/>
        <v>150242598</v>
      </c>
      <c r="BM144" s="137">
        <f t="shared" si="180"/>
        <v>0</v>
      </c>
      <c r="BN144" s="137">
        <f t="shared" si="180"/>
        <v>0</v>
      </c>
      <c r="BO144" s="137">
        <f t="shared" si="180"/>
        <v>300856785</v>
      </c>
      <c r="BP144" s="137">
        <f t="shared" si="180"/>
        <v>90420000</v>
      </c>
      <c r="BQ144" s="137">
        <f t="shared" si="180"/>
        <v>657504851</v>
      </c>
      <c r="BR144" s="128">
        <f t="shared" si="174"/>
        <v>0.54136176239206446</v>
      </c>
      <c r="BS144" s="28">
        <f t="shared" ref="BS144:CM144" si="181">SUM(BS137:BS143)</f>
        <v>11916946752</v>
      </c>
      <c r="BT144" s="28">
        <f t="shared" si="181"/>
        <v>0</v>
      </c>
      <c r="BU144" s="28">
        <f t="shared" si="181"/>
        <v>0</v>
      </c>
      <c r="BV144" s="28">
        <f t="shared" si="181"/>
        <v>5218647323</v>
      </c>
      <c r="BW144" s="28">
        <f t="shared" si="181"/>
        <v>147809402</v>
      </c>
      <c r="BX144" s="28">
        <f t="shared" si="181"/>
        <v>1396708789</v>
      </c>
      <c r="BY144" s="28">
        <f t="shared" si="181"/>
        <v>106769230</v>
      </c>
      <c r="BZ144" s="28">
        <f t="shared" si="181"/>
        <v>0</v>
      </c>
      <c r="CA144" s="28">
        <f t="shared" si="181"/>
        <v>0</v>
      </c>
      <c r="CB144" s="28">
        <f t="shared" si="181"/>
        <v>0</v>
      </c>
      <c r="CC144" s="28">
        <f t="shared" si="181"/>
        <v>300000</v>
      </c>
      <c r="CD144" s="28">
        <f t="shared" si="181"/>
        <v>130112725</v>
      </c>
      <c r="CE144" s="28">
        <f t="shared" si="181"/>
        <v>1388135369</v>
      </c>
      <c r="CF144" s="28">
        <f t="shared" si="181"/>
        <v>867625319</v>
      </c>
      <c r="CG144" s="28">
        <f t="shared" si="181"/>
        <v>453711667</v>
      </c>
      <c r="CH144" s="28">
        <f t="shared" si="181"/>
        <v>845852866</v>
      </c>
      <c r="CI144" s="28">
        <f t="shared" si="181"/>
        <v>0</v>
      </c>
      <c r="CJ144" s="28">
        <f t="shared" si="181"/>
        <v>5867630</v>
      </c>
      <c r="CK144" s="28">
        <f t="shared" si="181"/>
        <v>429051059</v>
      </c>
      <c r="CL144" s="28">
        <f t="shared" si="181"/>
        <v>23350298</v>
      </c>
      <c r="CM144" s="28">
        <f t="shared" si="181"/>
        <v>903005075</v>
      </c>
      <c r="CN144" s="25">
        <f t="shared" si="176"/>
        <v>0.45863823760793554</v>
      </c>
      <c r="CO144" s="136">
        <f t="shared" ref="CO144:DH144" ca="1" si="182">SUM(CO137:CO143)</f>
        <v>10095961399</v>
      </c>
      <c r="CP144" s="136">
        <f t="shared" ca="1" si="182"/>
        <v>0</v>
      </c>
      <c r="CQ144" s="136">
        <f t="shared" si="182"/>
        <v>4852277680</v>
      </c>
      <c r="CR144" s="136">
        <f t="shared" si="182"/>
        <v>23193925</v>
      </c>
      <c r="CS144" s="136">
        <f t="shared" si="182"/>
        <v>503027861</v>
      </c>
      <c r="CT144" s="136">
        <f t="shared" si="182"/>
        <v>31603756</v>
      </c>
      <c r="CU144" s="136">
        <f t="shared" si="182"/>
        <v>54387</v>
      </c>
      <c r="CV144" s="136">
        <f t="shared" si="182"/>
        <v>30665828</v>
      </c>
      <c r="CW144" s="136">
        <f t="shared" si="182"/>
        <v>1940856</v>
      </c>
      <c r="CX144" s="136">
        <f t="shared" si="182"/>
        <v>3138802</v>
      </c>
      <c r="CY144" s="136">
        <f t="shared" si="182"/>
        <v>215828732</v>
      </c>
      <c r="CZ144" s="136">
        <f t="shared" si="182"/>
        <v>706447480</v>
      </c>
      <c r="DA144" s="136">
        <f t="shared" si="182"/>
        <v>274404304</v>
      </c>
      <c r="DB144" s="136">
        <f t="shared" si="182"/>
        <v>33084973</v>
      </c>
      <c r="DC144" s="136">
        <f t="shared" si="182"/>
        <v>214980902</v>
      </c>
      <c r="DD144" s="136">
        <f t="shared" si="182"/>
        <v>0</v>
      </c>
      <c r="DE144" s="136">
        <f t="shared" si="182"/>
        <v>45427753</v>
      </c>
      <c r="DF144" s="136">
        <f t="shared" si="182"/>
        <v>2270948941</v>
      </c>
      <c r="DG144" s="136">
        <f t="shared" si="182"/>
        <v>181391538</v>
      </c>
      <c r="DH144" s="136">
        <f t="shared" si="182"/>
        <v>707543681</v>
      </c>
    </row>
    <row r="145" spans="3:112" x14ac:dyDescent="0.25">
      <c r="C145" s="132"/>
      <c r="D145" s="121" t="s">
        <v>263</v>
      </c>
      <c r="E145" s="138">
        <v>301</v>
      </c>
      <c r="F145" s="122"/>
      <c r="G145" s="123">
        <f>SUMIF($E$4:$E$132,"301",$G$4:$G$132)</f>
        <v>2949123548</v>
      </c>
      <c r="H145" s="124">
        <f>SUMIF($E$4:$E$132,"301",$H$4:$H$132)</f>
        <v>200000000</v>
      </c>
      <c r="I145" s="124">
        <f>SUMIF($E$4:$E$132,"301",$I$4:$I$132)</f>
        <v>453168096</v>
      </c>
      <c r="J145" s="123">
        <f>SUMIF($E$4:$E$132,"301",$J$4:$J$132)</f>
        <v>0</v>
      </c>
      <c r="K145" s="122">
        <f>SUMIF($E$4:$E$132,"301",$K$4:$K$132)</f>
        <v>701280247</v>
      </c>
      <c r="L145" s="122">
        <f>SUMIF($E$4:$E$132,"301",$L$4:$L$132)</f>
        <v>0</v>
      </c>
      <c r="M145" s="122">
        <f>SUMIF($E$4:$E$132,"301",$M$4:$M$132)</f>
        <v>0</v>
      </c>
      <c r="N145" s="122">
        <f>SUMIF($E$4:$E$132,"301",$N$4:$N$132)</f>
        <v>0</v>
      </c>
      <c r="O145" s="122">
        <f>SUMIF($E$4:$E$132,"301",$O$4:$O$132)</f>
        <v>0</v>
      </c>
      <c r="P145" s="122">
        <f>SUMIF($E$4:$E$132,"301",$P$4:$P$132)</f>
        <v>0</v>
      </c>
      <c r="Q145" s="122">
        <f>SUMIF($E$4:$E$132,"301",$Q$4:$Q$132)</f>
        <v>0</v>
      </c>
      <c r="R145" s="122">
        <f>SUMIF($E$4:$E$132,"301",$R$4:$R$132)</f>
        <v>0</v>
      </c>
      <c r="S145" s="122">
        <f>SUMIF($E$4:$E$132,"301",$S$4:$S$132)</f>
        <v>0</v>
      </c>
      <c r="T145" s="122">
        <f>SUMIF($E$4:$E$132,"301",$T$4:$T$132)</f>
        <v>0</v>
      </c>
      <c r="U145" s="122">
        <f>SUMIF($E$4:$E$132,"301",$U$4:$U$132)</f>
        <v>245242997</v>
      </c>
      <c r="V145" s="122">
        <f>SUMIF($E$4:$E$124,"301",$V$4:$V$124)</f>
        <v>1262551657</v>
      </c>
      <c r="W145" s="122"/>
      <c r="X145" s="122">
        <f>SUMIF($E$4:$E$124,"301",$X$4:$X$124)</f>
        <v>0</v>
      </c>
      <c r="Y145" s="122">
        <f>SUMIF($E$4:$E$132,"301",$Y$4:$Y$132)</f>
        <v>0</v>
      </c>
      <c r="Z145" s="122">
        <f>SUMIF($E$4:$E$132,"301",$Z$4:$Z$132)</f>
        <v>86880551</v>
      </c>
      <c r="AA145" s="125">
        <f t="shared" si="170"/>
        <v>0.85205638017576879</v>
      </c>
      <c r="AB145" s="28">
        <f>SUM(AD145:AV145)</f>
        <v>2512819535</v>
      </c>
      <c r="AC145" s="123">
        <f>SUMIF($E$4:$E$132,"301",$AC$4:$AC$132)</f>
        <v>0</v>
      </c>
      <c r="AD145" s="123">
        <f>SUMIF($E$4:$E$132,"301",$AD$4:$AD$132)</f>
        <v>198408143</v>
      </c>
      <c r="AE145" s="123">
        <f>SUMIF($E$4:$E$132,"301",$AE$4:$AE$132)</f>
        <v>271768096</v>
      </c>
      <c r="AF145" s="123">
        <f>SUMIF($E$4:$E$132,"301",$AF$4:$AF$132)</f>
        <v>0</v>
      </c>
      <c r="AG145" s="123">
        <f>SUMIF($E$4:$E$132,"301",$AG$4:$AG$132)</f>
        <v>701280247</v>
      </c>
      <c r="AH145" s="123">
        <f>SUMIF($E$4:$E$132,"301",$AH$4:$AH$132)</f>
        <v>0</v>
      </c>
      <c r="AI145" s="123">
        <f>SUMIF($E$4:$E$132,"301",$AI$4:$AI$132)</f>
        <v>0</v>
      </c>
      <c r="AJ145" s="123">
        <f>SUMIF($E$4:$E$132,"301",$AJ$4:$AJ$132)</f>
        <v>0</v>
      </c>
      <c r="AK145" s="123">
        <f>SUMIF($E$4:$E$132,"301",$AK$4:$AK$132)</f>
        <v>0</v>
      </c>
      <c r="AL145" s="123">
        <f>SUMIF($E$4:$E$132,"301",$AL$4:$AL$132)</f>
        <v>0</v>
      </c>
      <c r="AM145" s="123">
        <f>SUMIF($E$4:$E$132,"301",$AM$4:$AM$132)</f>
        <v>0</v>
      </c>
      <c r="AN145" s="123">
        <f>SUMIF($E$4:$E$132,"301",$AN$4:$AN$132)</f>
        <v>0</v>
      </c>
      <c r="AO145" s="123">
        <f>SUMIF($E$4:$E$132,"301",$AO$4:$AO$132)</f>
        <v>0</v>
      </c>
      <c r="AP145" s="123">
        <f>SUMIF($E$4:$E$132,"301",$AP$4:$AP$132)</f>
        <v>0</v>
      </c>
      <c r="AQ145" s="123">
        <f>SUMIF($E$4:$E$132,"301",$AQ$4:$AQ$132)</f>
        <v>150327287</v>
      </c>
      <c r="AR145" s="123">
        <f>SUMIF($E$4:$E$132,"301",$AR$4:$AR$132)</f>
        <v>1158469451</v>
      </c>
      <c r="AS145" s="123">
        <f>SUMIF($E$4:$E$132,"301",$AS$4:$AS$132)</f>
        <v>0</v>
      </c>
      <c r="AT145" s="123">
        <f>SUMIF($E$4:$E$132,"301",$AT$4:$AT$132)</f>
        <v>0</v>
      </c>
      <c r="AU145" s="123">
        <f>SUMIF($E$4:$E$132,"301",$AU$4:$AU$132)</f>
        <v>0</v>
      </c>
      <c r="AV145" s="123">
        <f>SUMIF($E$4:$E$132,"301",$AV$4:$AV$132)</f>
        <v>32566311</v>
      </c>
      <c r="AW145" s="108">
        <f t="shared" si="172"/>
        <v>0.14794361982423121</v>
      </c>
      <c r="AX145" s="28">
        <f>SUM(AY145:BQ145)</f>
        <v>436304013</v>
      </c>
      <c r="AY145" s="126">
        <f>SUMIF($E$4:$E$132,"301",$AY$4:$AY$132)</f>
        <v>1591857</v>
      </c>
      <c r="AZ145" s="126">
        <f>SUMIF($E$4:$E$132,"301",$AZ$4:$AZ$132)</f>
        <v>181400000</v>
      </c>
      <c r="BA145" s="126">
        <f>SUMIF($E$4:$E$132,"301",$BA$4:$BA$132)</f>
        <v>0</v>
      </c>
      <c r="BB145" s="126">
        <f>SUMIF($E$4:$E$132,"301",$BB$4:$BB$132)</f>
        <v>0</v>
      </c>
      <c r="BC145" s="126">
        <f>SUMIF($E$4:$E$132,"301",$BC$4:$BC$132)</f>
        <v>0</v>
      </c>
      <c r="BD145" s="126">
        <f>SUMIF($E$4:$E$132,"301",$BD$4:$BD$132)</f>
        <v>0</v>
      </c>
      <c r="BE145" s="126">
        <f>SUMIF($E$4:$E$132,"301",$BE$4:$BE$132)</f>
        <v>0</v>
      </c>
      <c r="BF145" s="126">
        <f>SUMIF($E$4:$E$132,"301",$BF$4:$BF$132)</f>
        <v>0</v>
      </c>
      <c r="BG145" s="126">
        <f>SUMIF($E$4:$E$132,"301",$BG$4:$BG$132)</f>
        <v>0</v>
      </c>
      <c r="BH145" s="126">
        <f>SUMIF($E$4:$E$132,"301",$BH$4:$BH$132)</f>
        <v>0</v>
      </c>
      <c r="BI145" s="126">
        <f>SUMIF($E$4:$E$132,"301",$BI$4:$BI$132)</f>
        <v>0</v>
      </c>
      <c r="BJ145" s="126">
        <f>SUMIF($E$4:$E$132,"301",$BJ$4:$BJ$132)</f>
        <v>0</v>
      </c>
      <c r="BK145" s="126">
        <f>SUMIF($E$4:$E$132,"301",$BK$4:$BK$132)</f>
        <v>0</v>
      </c>
      <c r="BL145" s="126">
        <f>SUMIF($E$4:$E$132,"301",$BL$4:$BL$132)</f>
        <v>94915710</v>
      </c>
      <c r="BM145" s="126">
        <f>SUMIF($E$4:$E$132,"301",$BM$4:$BM$132)</f>
        <v>104082206</v>
      </c>
      <c r="BN145" s="126"/>
      <c r="BO145" s="126">
        <f>SUMIF($E$4:$E$132,"301",$BO$4:$BO$132)</f>
        <v>0</v>
      </c>
      <c r="BP145" s="126"/>
      <c r="BQ145" s="127">
        <f>SUMIF($E$4:$E$132,"301",$BQ$4:$BQ$132)</f>
        <v>54314240</v>
      </c>
      <c r="BR145" s="128">
        <f t="shared" si="174"/>
        <v>0.79096945924220063</v>
      </c>
      <c r="BS145" s="28">
        <f>SUM(BU145:CM145)</f>
        <v>2332666658</v>
      </c>
      <c r="BT145" s="123">
        <f>SUMIF($E$4:$E$132,"111",$BT$4:$BT$132)</f>
        <v>0</v>
      </c>
      <c r="BU145" s="123">
        <f>SUMIF($E$4:$E$132,"301",$BU$4:$BU$132)</f>
        <v>198408143</v>
      </c>
      <c r="BV145" s="123">
        <f>SUMIF($E$4:$E$132,"301",$BV$4:$BV$132)</f>
        <v>268168096</v>
      </c>
      <c r="BW145" s="123">
        <f>SUMIF($E$4:$E$132,"301",$BW$4:$BW$132)</f>
        <v>0</v>
      </c>
      <c r="BX145" s="123">
        <f>SUMIF($E$4:$E$132,"301",$BX$4:$BX$132)</f>
        <v>701280247</v>
      </c>
      <c r="BY145" s="123">
        <f>SUMIF($E$4:$E$132,"301",$BY$4:$BY$132)</f>
        <v>0</v>
      </c>
      <c r="BZ145" s="123">
        <f>SUMIF($E$4:$E$132,"301",$BZ$4:$BZ$132)</f>
        <v>0</v>
      </c>
      <c r="CA145" s="123">
        <f>SUMIF($E$4:$E$132,"301",$CA$4:$CA$132)</f>
        <v>0</v>
      </c>
      <c r="CB145" s="123">
        <f>SUMIF($E$4:$E$132,"301",$CB$4:$CB$132)</f>
        <v>0</v>
      </c>
      <c r="CC145" s="123">
        <f>SUMIF($E$4:$E$132,"301",$CC$4:$CC$132)</f>
        <v>0</v>
      </c>
      <c r="CD145" s="123">
        <f>SUMIF($E$4:$E$132,"301",$CD$4:$CD$132)</f>
        <v>0</v>
      </c>
      <c r="CE145" s="123">
        <f>SUMIF($E$4:$E$132,"301",$CE$4:$CE$132)</f>
        <v>0</v>
      </c>
      <c r="CF145" s="123">
        <f>SUMIF($E$4:$E$132,"301",$CF$4:$CF$132)</f>
        <v>0</v>
      </c>
      <c r="CG145" s="123">
        <f>SUMIF($E$4:$E$132,"301",$CG$4:$CG$132)</f>
        <v>0</v>
      </c>
      <c r="CH145" s="123">
        <f>SUMIF($E$4:$E$132,"301",$CH$4:$CH$132)</f>
        <v>89000967</v>
      </c>
      <c r="CI145" s="123">
        <f>SUMIF($E$4:$E$132,"301",$CI$4:$CI$132)</f>
        <v>1044337414</v>
      </c>
      <c r="CJ145" s="123">
        <f>SUMIF($E$4:$E$132,"301",$CJ$4:$CJ$132)</f>
        <v>0</v>
      </c>
      <c r="CK145" s="123">
        <f>SUMIF($E$4:$E$132,"301",$CK$4:$CK$132)</f>
        <v>0</v>
      </c>
      <c r="CL145" s="123">
        <f>SUMIF($E$4:$E$132,"301",$CL$4:$CL$132)</f>
        <v>0</v>
      </c>
      <c r="CM145" s="129">
        <f>SUMIF($E$4:$E$132,"301",$CM$4:$CM$132)</f>
        <v>31471791</v>
      </c>
      <c r="CN145" s="25">
        <f t="shared" si="176"/>
        <v>0.20903054075779937</v>
      </c>
      <c r="CO145" s="28">
        <f>SUM(CP145:DH145)</f>
        <v>616456890</v>
      </c>
      <c r="CP145" s="126">
        <f>SUMIF($E$4:$E$132,"301",$CP$4:$CP$132)</f>
        <v>1591857</v>
      </c>
      <c r="CQ145" s="126">
        <f>SUMIF($E$4:$E$132,"301",$CQ$4:$CQ$132)</f>
        <v>185000000</v>
      </c>
      <c r="CR145" s="126">
        <f>SUMIF($E$4:$E$132,"301",$CR$4:$CR$132)</f>
        <v>0</v>
      </c>
      <c r="CS145" s="126">
        <f>SUMIF($E$4:$E$132,"301",$CS$4:$CS$132)</f>
        <v>0</v>
      </c>
      <c r="CT145" s="126">
        <f>SUMIF($E$4:$E$132,"301",$CT$4:$CT$132)</f>
        <v>0</v>
      </c>
      <c r="CU145" s="126">
        <f>SUMIF($E$4:$E$132,"301",$CU$4:$CU$132)</f>
        <v>0</v>
      </c>
      <c r="CV145" s="130">
        <f>SUMIF($E$4:$E$132,"301",$CV$4:$CV$132)</f>
        <v>0</v>
      </c>
      <c r="CW145" s="130">
        <f>SUMIF($E$4:$E$132,"301",$CW$4:$CW$132)</f>
        <v>0</v>
      </c>
      <c r="CX145" s="130">
        <f>SUMIF($E$4:$E$132,"301",$CX$4:$CX$132)</f>
        <v>0</v>
      </c>
      <c r="CY145" s="130">
        <f>SUMIF($E$4:$E$132,"301",$CY$4:$CY$132)</f>
        <v>0</v>
      </c>
      <c r="CZ145" s="130">
        <f>SUMIF($E$4:$E$132,"301",$CZ$4:$CZ$132)</f>
        <v>0</v>
      </c>
      <c r="DA145" s="130">
        <f>SUMIF($E$4:$E$132,"301",$DA$4:$DA$132)</f>
        <v>0</v>
      </c>
      <c r="DB145" s="130">
        <f>SUMIF($E$4:$E$132,"301",$DB$4:$DB$132)</f>
        <v>0</v>
      </c>
      <c r="DC145" s="130">
        <f>SUMIF($E$4:$E$132,"301",$DC$4:$DC$132)</f>
        <v>156242030</v>
      </c>
      <c r="DD145" s="130">
        <f>SUMIF($E$4:$E$132,"301",$DD$4:$DD$132)</f>
        <v>218214243</v>
      </c>
      <c r="DE145" s="130">
        <f>SUMIF($E$4:$E$132,"301",$DE$4:$DE$132)</f>
        <v>0</v>
      </c>
      <c r="DF145" s="130">
        <f>SUMIF($E$4:$E$132,"301",$DF$4:$DF$132)</f>
        <v>0</v>
      </c>
      <c r="DG145" s="130">
        <f>SUMIF($E$4:$E$132,"301",$DG$4:$DG$132)</f>
        <v>0</v>
      </c>
      <c r="DH145" s="130">
        <f>SUMIF($E$4:$E$132,"301",$DH$4:$DH$132)</f>
        <v>55408760</v>
      </c>
    </row>
    <row r="146" spans="3:112" ht="15.75" thickBot="1" x14ac:dyDescent="0.3">
      <c r="C146" s="258" t="s">
        <v>381</v>
      </c>
      <c r="D146" s="259"/>
      <c r="E146" s="139"/>
      <c r="F146" s="140"/>
      <c r="G146" s="141">
        <f t="shared" ref="G146:Z146" si="183">SUM(G144:G145)</f>
        <v>24962031699</v>
      </c>
      <c r="H146" s="141">
        <f t="shared" si="183"/>
        <v>200000000</v>
      </c>
      <c r="I146" s="141">
        <f t="shared" si="183"/>
        <v>10524093099</v>
      </c>
      <c r="J146" s="141">
        <f t="shared" si="183"/>
        <v>171003327</v>
      </c>
      <c r="K146" s="141">
        <f t="shared" si="183"/>
        <v>2601016897</v>
      </c>
      <c r="L146" s="141">
        <f t="shared" si="183"/>
        <v>138372986</v>
      </c>
      <c r="M146" s="141">
        <f t="shared" si="183"/>
        <v>54387</v>
      </c>
      <c r="N146" s="141">
        <f t="shared" si="183"/>
        <v>30665828</v>
      </c>
      <c r="O146" s="141">
        <f t="shared" si="183"/>
        <v>1940856</v>
      </c>
      <c r="P146" s="141">
        <f t="shared" si="183"/>
        <v>3438802</v>
      </c>
      <c r="Q146" s="141">
        <f t="shared" si="183"/>
        <v>345941457</v>
      </c>
      <c r="R146" s="141">
        <f t="shared" si="183"/>
        <v>2094582849</v>
      </c>
      <c r="S146" s="141">
        <f t="shared" si="183"/>
        <v>1142029623</v>
      </c>
      <c r="T146" s="142">
        <f t="shared" si="183"/>
        <v>486796640</v>
      </c>
      <c r="U146" s="141">
        <f t="shared" si="183"/>
        <v>1306076765</v>
      </c>
      <c r="V146" s="141">
        <f t="shared" si="183"/>
        <v>1262551657</v>
      </c>
      <c r="W146" s="141">
        <f t="shared" si="183"/>
        <v>51295383</v>
      </c>
      <c r="X146" s="141">
        <f t="shared" si="183"/>
        <v>2700000000</v>
      </c>
      <c r="Y146" s="141">
        <f t="shared" si="183"/>
        <v>204741836</v>
      </c>
      <c r="Z146" s="141">
        <f t="shared" si="183"/>
        <v>1697429307</v>
      </c>
      <c r="AA146" s="143">
        <f t="shared" si="170"/>
        <v>0.75848075650663005</v>
      </c>
      <c r="AB146" s="144">
        <f t="shared" ref="AB146:AV146" si="184">AB144+AB145</f>
        <v>18933220687</v>
      </c>
      <c r="AC146" s="144">
        <f t="shared" si="184"/>
        <v>0</v>
      </c>
      <c r="AD146" s="144">
        <f t="shared" si="184"/>
        <v>198408143</v>
      </c>
      <c r="AE146" s="144">
        <f t="shared" si="184"/>
        <v>6912103504</v>
      </c>
      <c r="AF146" s="144">
        <f t="shared" si="184"/>
        <v>147809410</v>
      </c>
      <c r="AG146" s="144">
        <f t="shared" si="184"/>
        <v>2318994702</v>
      </c>
      <c r="AH146" s="144">
        <f t="shared" si="184"/>
        <v>106863498</v>
      </c>
      <c r="AI146" s="144">
        <f t="shared" si="184"/>
        <v>0</v>
      </c>
      <c r="AJ146" s="144">
        <f t="shared" si="184"/>
        <v>0</v>
      </c>
      <c r="AK146" s="144">
        <f t="shared" si="184"/>
        <v>0</v>
      </c>
      <c r="AL146" s="144">
        <f t="shared" si="184"/>
        <v>300000</v>
      </c>
      <c r="AM146" s="144">
        <f t="shared" si="184"/>
        <v>164856575</v>
      </c>
      <c r="AN146" s="144">
        <f t="shared" si="184"/>
        <v>1974981668</v>
      </c>
      <c r="AO146" s="144">
        <f t="shared" si="184"/>
        <v>885432962</v>
      </c>
      <c r="AP146" s="144">
        <f t="shared" si="184"/>
        <v>453711667</v>
      </c>
      <c r="AQ146" s="144">
        <f t="shared" si="184"/>
        <v>1060918457</v>
      </c>
      <c r="AR146" s="144">
        <f t="shared" si="184"/>
        <v>1158469451</v>
      </c>
      <c r="AS146" s="144">
        <f t="shared" si="184"/>
        <v>51295383</v>
      </c>
      <c r="AT146" s="144">
        <f t="shared" si="184"/>
        <v>2399143215</v>
      </c>
      <c r="AU146" s="144">
        <f t="shared" si="184"/>
        <v>114321836</v>
      </c>
      <c r="AV146" s="144">
        <f t="shared" si="184"/>
        <v>985610216</v>
      </c>
      <c r="AW146" s="108">
        <f t="shared" si="172"/>
        <v>0.24151924349336995</v>
      </c>
      <c r="AX146" s="144">
        <f>AX144+AX145</f>
        <v>6028811012</v>
      </c>
      <c r="AY146" s="144">
        <f>AY144+AY145</f>
        <v>1591857</v>
      </c>
      <c r="AZ146" s="145">
        <f t="shared" ref="AZ146:BQ146" si="185">+AZ144+AZ145</f>
        <v>3611989595</v>
      </c>
      <c r="BA146" s="145">
        <f t="shared" si="185"/>
        <v>23193917</v>
      </c>
      <c r="BB146" s="145">
        <f t="shared" si="185"/>
        <v>282022195</v>
      </c>
      <c r="BC146" s="145">
        <f t="shared" si="185"/>
        <v>31509488</v>
      </c>
      <c r="BD146" s="145">
        <f t="shared" si="185"/>
        <v>54387</v>
      </c>
      <c r="BE146" s="145">
        <f t="shared" si="185"/>
        <v>30665828</v>
      </c>
      <c r="BF146" s="145">
        <f t="shared" si="185"/>
        <v>1940856</v>
      </c>
      <c r="BG146" s="145">
        <f t="shared" si="185"/>
        <v>3138802</v>
      </c>
      <c r="BH146" s="145">
        <f t="shared" si="185"/>
        <v>181084882</v>
      </c>
      <c r="BI146" s="145">
        <f t="shared" si="185"/>
        <v>119601181</v>
      </c>
      <c r="BJ146" s="145">
        <f t="shared" si="185"/>
        <v>256596661</v>
      </c>
      <c r="BK146" s="145">
        <f t="shared" si="185"/>
        <v>33084973</v>
      </c>
      <c r="BL146" s="145">
        <f t="shared" si="185"/>
        <v>245158308</v>
      </c>
      <c r="BM146" s="145">
        <f t="shared" si="185"/>
        <v>104082206</v>
      </c>
      <c r="BN146" s="145">
        <f t="shared" si="185"/>
        <v>0</v>
      </c>
      <c r="BO146" s="145">
        <f t="shared" si="185"/>
        <v>300856785</v>
      </c>
      <c r="BP146" s="145">
        <f t="shared" si="185"/>
        <v>90420000</v>
      </c>
      <c r="BQ146" s="145">
        <f t="shared" si="185"/>
        <v>711819091</v>
      </c>
      <c r="BR146" s="146">
        <f t="shared" si="174"/>
        <v>0.57085150687357122</v>
      </c>
      <c r="BS146" s="147">
        <f>+BS144+BS145</f>
        <v>14249613410</v>
      </c>
      <c r="BT146" s="145">
        <f>+BT144+BT145</f>
        <v>0</v>
      </c>
      <c r="BU146" s="145">
        <f>+BU144+BU145</f>
        <v>198408143</v>
      </c>
      <c r="BV146" s="145">
        <f>+BV144+BV145</f>
        <v>5486815419</v>
      </c>
      <c r="BW146" s="145">
        <f>+BW144+BW145</f>
        <v>147809402</v>
      </c>
      <c r="BX146" s="141">
        <f t="shared" ref="BX146:CM146" si="186">SUM(BX144:BX145)</f>
        <v>2097989036</v>
      </c>
      <c r="BY146" s="141">
        <f t="shared" si="186"/>
        <v>106769230</v>
      </c>
      <c r="BZ146" s="141">
        <f t="shared" si="186"/>
        <v>0</v>
      </c>
      <c r="CA146" s="141">
        <f t="shared" si="186"/>
        <v>0</v>
      </c>
      <c r="CB146" s="141">
        <f t="shared" si="186"/>
        <v>0</v>
      </c>
      <c r="CC146" s="141">
        <f t="shared" si="186"/>
        <v>300000</v>
      </c>
      <c r="CD146" s="141">
        <f t="shared" si="186"/>
        <v>130112725</v>
      </c>
      <c r="CE146" s="141">
        <f t="shared" si="186"/>
        <v>1388135369</v>
      </c>
      <c r="CF146" s="141">
        <f t="shared" si="186"/>
        <v>867625319</v>
      </c>
      <c r="CG146" s="141">
        <f t="shared" si="186"/>
        <v>453711667</v>
      </c>
      <c r="CH146" s="141">
        <f t="shared" si="186"/>
        <v>934853833</v>
      </c>
      <c r="CI146" s="141">
        <f t="shared" si="186"/>
        <v>1044337414</v>
      </c>
      <c r="CJ146" s="141">
        <f t="shared" si="186"/>
        <v>5867630</v>
      </c>
      <c r="CK146" s="141">
        <f t="shared" si="186"/>
        <v>429051059</v>
      </c>
      <c r="CL146" s="141">
        <f t="shared" si="186"/>
        <v>23350298</v>
      </c>
      <c r="CM146" s="148">
        <f t="shared" si="186"/>
        <v>934476866</v>
      </c>
      <c r="CN146" s="149">
        <f t="shared" si="176"/>
        <v>0.42914849312642878</v>
      </c>
      <c r="CO146" s="141">
        <f t="shared" ref="CO146:DH146" ca="1" si="187">SUM(CO144:CO145)</f>
        <v>10712418289</v>
      </c>
      <c r="CP146" s="148">
        <f t="shared" ca="1" si="187"/>
        <v>1591857</v>
      </c>
      <c r="CQ146" s="148">
        <f t="shared" si="187"/>
        <v>5037277680</v>
      </c>
      <c r="CR146" s="148">
        <f t="shared" si="187"/>
        <v>23193925</v>
      </c>
      <c r="CS146" s="141">
        <f t="shared" si="187"/>
        <v>503027861</v>
      </c>
      <c r="CT146" s="141">
        <f t="shared" si="187"/>
        <v>31603756</v>
      </c>
      <c r="CU146" s="141">
        <f t="shared" si="187"/>
        <v>54387</v>
      </c>
      <c r="CV146" s="150">
        <f t="shared" si="187"/>
        <v>30665828</v>
      </c>
      <c r="CW146" s="150">
        <f t="shared" si="187"/>
        <v>1940856</v>
      </c>
      <c r="CX146" s="150">
        <f t="shared" si="187"/>
        <v>3138802</v>
      </c>
      <c r="CY146" s="150">
        <f t="shared" si="187"/>
        <v>215828732</v>
      </c>
      <c r="CZ146" s="150">
        <f t="shared" si="187"/>
        <v>706447480</v>
      </c>
      <c r="DA146" s="150">
        <f t="shared" si="187"/>
        <v>274404304</v>
      </c>
      <c r="DB146" s="150">
        <f t="shared" si="187"/>
        <v>33084973</v>
      </c>
      <c r="DC146" s="150">
        <f t="shared" si="187"/>
        <v>371222932</v>
      </c>
      <c r="DD146" s="150">
        <f t="shared" si="187"/>
        <v>218214243</v>
      </c>
      <c r="DE146" s="150">
        <f t="shared" si="187"/>
        <v>45427753</v>
      </c>
      <c r="DF146" s="150">
        <f t="shared" si="187"/>
        <v>2270948941</v>
      </c>
      <c r="DG146" s="150">
        <f t="shared" si="187"/>
        <v>181391538</v>
      </c>
      <c r="DH146" s="150">
        <f t="shared" si="187"/>
        <v>762952441</v>
      </c>
    </row>
    <row r="147" spans="3:112" ht="15.75" thickTop="1" x14ac:dyDescent="0.25">
      <c r="G147" s="52">
        <f>+G135-G146</f>
        <v>0</v>
      </c>
      <c r="H147" s="52">
        <f t="shared" ref="H147:V147" si="188">+H135-H146</f>
        <v>0</v>
      </c>
      <c r="I147" s="52">
        <f t="shared" si="188"/>
        <v>0</v>
      </c>
      <c r="J147" s="52">
        <f t="shared" si="188"/>
        <v>0</v>
      </c>
      <c r="K147" s="52">
        <f t="shared" si="188"/>
        <v>0</v>
      </c>
      <c r="L147" s="52">
        <f t="shared" si="188"/>
        <v>0</v>
      </c>
      <c r="M147" s="52">
        <f t="shared" si="188"/>
        <v>0</v>
      </c>
      <c r="N147" s="52">
        <f t="shared" si="188"/>
        <v>0</v>
      </c>
      <c r="O147" s="52">
        <f t="shared" si="188"/>
        <v>0</v>
      </c>
      <c r="P147" s="52">
        <f t="shared" si="188"/>
        <v>0</v>
      </c>
      <c r="Q147" s="52">
        <f t="shared" si="188"/>
        <v>0</v>
      </c>
      <c r="R147" s="52">
        <f t="shared" si="188"/>
        <v>0</v>
      </c>
      <c r="S147" s="52">
        <f t="shared" si="188"/>
        <v>0</v>
      </c>
      <c r="T147" s="52">
        <f t="shared" si="188"/>
        <v>0</v>
      </c>
      <c r="U147" s="52">
        <f t="shared" si="188"/>
        <v>0</v>
      </c>
      <c r="V147" s="52">
        <f t="shared" si="188"/>
        <v>0</v>
      </c>
      <c r="W147" s="52"/>
      <c r="X147" s="52">
        <f>+X135-X146</f>
        <v>0</v>
      </c>
      <c r="Y147" s="52">
        <f>+Y135-Y146</f>
        <v>0</v>
      </c>
      <c r="Z147" s="52">
        <f>+Z135-Z146</f>
        <v>0</v>
      </c>
      <c r="AB147" s="52">
        <f t="shared" ref="AB147:AR147" si="189">+AB135-AB146</f>
        <v>0</v>
      </c>
      <c r="AC147" s="52">
        <f t="shared" si="189"/>
        <v>0</v>
      </c>
      <c r="AD147" s="52">
        <f t="shared" si="189"/>
        <v>0</v>
      </c>
      <c r="AE147" s="52">
        <f t="shared" si="189"/>
        <v>0</v>
      </c>
      <c r="AF147" s="52">
        <f t="shared" si="189"/>
        <v>0</v>
      </c>
      <c r="AG147" s="52">
        <f t="shared" si="189"/>
        <v>0</v>
      </c>
      <c r="AH147" s="52">
        <f t="shared" si="189"/>
        <v>0</v>
      </c>
      <c r="AI147" s="52">
        <f t="shared" si="189"/>
        <v>0</v>
      </c>
      <c r="AJ147" s="52">
        <f t="shared" si="189"/>
        <v>0</v>
      </c>
      <c r="AK147" s="52">
        <f t="shared" si="189"/>
        <v>0</v>
      </c>
      <c r="AL147" s="52">
        <f t="shared" si="189"/>
        <v>0</v>
      </c>
      <c r="AM147" s="52">
        <f t="shared" si="189"/>
        <v>0</v>
      </c>
      <c r="AN147" s="52">
        <f t="shared" si="189"/>
        <v>0</v>
      </c>
      <c r="AO147" s="52">
        <f t="shared" si="189"/>
        <v>0</v>
      </c>
      <c r="AP147" s="52">
        <f t="shared" si="189"/>
        <v>0</v>
      </c>
      <c r="AQ147" s="52">
        <f t="shared" si="189"/>
        <v>0</v>
      </c>
      <c r="AR147" s="52">
        <f t="shared" si="189"/>
        <v>0</v>
      </c>
      <c r="AS147" s="52"/>
      <c r="AT147" s="52">
        <f>+AT135-AT146</f>
        <v>0</v>
      </c>
      <c r="AU147" s="52">
        <f>+AU135-AU146</f>
        <v>0</v>
      </c>
      <c r="AV147" s="52">
        <f>+AV135-AV146</f>
        <v>0</v>
      </c>
      <c r="AX147" s="52">
        <f>+AX135-AX146</f>
        <v>0</v>
      </c>
      <c r="AY147" s="52">
        <f t="shared" ref="AY147:BM147" si="190">+AY135-AY146</f>
        <v>0</v>
      </c>
      <c r="AZ147" s="52">
        <f t="shared" si="190"/>
        <v>0</v>
      </c>
      <c r="BA147" s="52">
        <f t="shared" si="190"/>
        <v>0</v>
      </c>
      <c r="BB147" s="52">
        <f t="shared" si="190"/>
        <v>0</v>
      </c>
      <c r="BC147" s="52">
        <f t="shared" si="190"/>
        <v>0</v>
      </c>
      <c r="BD147" s="52">
        <f t="shared" si="190"/>
        <v>0</v>
      </c>
      <c r="BE147" s="52">
        <f t="shared" si="190"/>
        <v>0</v>
      </c>
      <c r="BF147" s="52">
        <f t="shared" si="190"/>
        <v>0</v>
      </c>
      <c r="BG147" s="52">
        <f t="shared" si="190"/>
        <v>0</v>
      </c>
      <c r="BH147" s="52">
        <f t="shared" si="190"/>
        <v>0</v>
      </c>
      <c r="BI147" s="52">
        <f t="shared" si="190"/>
        <v>0</v>
      </c>
      <c r="BJ147" s="52">
        <f t="shared" si="190"/>
        <v>0</v>
      </c>
      <c r="BK147" s="52">
        <f t="shared" si="190"/>
        <v>0</v>
      </c>
      <c r="BL147" s="52">
        <f t="shared" si="190"/>
        <v>0</v>
      </c>
      <c r="BM147" s="52">
        <f t="shared" si="190"/>
        <v>0</v>
      </c>
      <c r="BN147" s="52"/>
      <c r="BO147" s="52">
        <f>+BO135-BO146</f>
        <v>0</v>
      </c>
      <c r="BP147" s="52">
        <f>+BP135-BP146</f>
        <v>0</v>
      </c>
      <c r="BQ147" s="52">
        <f>+BQ135-BQ146</f>
        <v>0</v>
      </c>
      <c r="BS147" s="52">
        <f>+BS135-BS146</f>
        <v>0</v>
      </c>
      <c r="BT147" s="52"/>
      <c r="BU147" s="52">
        <f t="shared" ref="BU147:CM147" si="191">+BU135-BU146</f>
        <v>0</v>
      </c>
      <c r="BV147" s="52">
        <f t="shared" si="191"/>
        <v>0</v>
      </c>
      <c r="BW147" s="52">
        <f t="shared" si="191"/>
        <v>0</v>
      </c>
      <c r="BX147" s="52">
        <f t="shared" si="191"/>
        <v>0</v>
      </c>
      <c r="BY147" s="52">
        <f t="shared" si="191"/>
        <v>0</v>
      </c>
      <c r="BZ147" s="52">
        <f t="shared" si="191"/>
        <v>0</v>
      </c>
      <c r="CA147" s="52">
        <f t="shared" si="191"/>
        <v>0</v>
      </c>
      <c r="CB147" s="52">
        <f t="shared" si="191"/>
        <v>0</v>
      </c>
      <c r="CC147" s="52">
        <f t="shared" si="191"/>
        <v>0</v>
      </c>
      <c r="CD147" s="52">
        <f t="shared" si="191"/>
        <v>0</v>
      </c>
      <c r="CE147" s="52">
        <f t="shared" si="191"/>
        <v>0</v>
      </c>
      <c r="CF147" s="52">
        <f t="shared" si="191"/>
        <v>0</v>
      </c>
      <c r="CG147" s="52">
        <f t="shared" si="191"/>
        <v>0</v>
      </c>
      <c r="CH147" s="52">
        <f t="shared" si="191"/>
        <v>0</v>
      </c>
      <c r="CI147" s="52">
        <f t="shared" si="191"/>
        <v>0</v>
      </c>
      <c r="CJ147" s="52">
        <f t="shared" si="191"/>
        <v>0</v>
      </c>
      <c r="CK147" s="52">
        <f t="shared" si="191"/>
        <v>0</v>
      </c>
      <c r="CL147" s="52">
        <f t="shared" si="191"/>
        <v>0</v>
      </c>
      <c r="CM147" s="52">
        <f t="shared" si="191"/>
        <v>0</v>
      </c>
      <c r="CN147" s="52"/>
      <c r="CO147" s="52">
        <f ca="1">+CO135-CO146</f>
        <v>0</v>
      </c>
      <c r="CP147" s="52">
        <f t="shared" ref="CP147:DH147" ca="1" si="192">+CP135-CP146</f>
        <v>0</v>
      </c>
      <c r="CQ147" s="52">
        <f t="shared" si="192"/>
        <v>0</v>
      </c>
      <c r="CR147" s="52">
        <f t="shared" si="192"/>
        <v>0</v>
      </c>
      <c r="CS147" s="52">
        <f t="shared" si="192"/>
        <v>0</v>
      </c>
      <c r="CT147" s="52">
        <f t="shared" si="192"/>
        <v>0</v>
      </c>
      <c r="CU147" s="52">
        <f t="shared" si="192"/>
        <v>0</v>
      </c>
      <c r="CV147" s="52">
        <f t="shared" si="192"/>
        <v>0</v>
      </c>
      <c r="CW147" s="52">
        <f t="shared" si="192"/>
        <v>0</v>
      </c>
      <c r="CX147" s="52">
        <f t="shared" si="192"/>
        <v>0</v>
      </c>
      <c r="CY147" s="52">
        <f t="shared" si="192"/>
        <v>0</v>
      </c>
      <c r="CZ147" s="52">
        <f t="shared" si="192"/>
        <v>0</v>
      </c>
      <c r="DA147" s="52">
        <f t="shared" si="192"/>
        <v>0</v>
      </c>
      <c r="DB147" s="52">
        <f t="shared" si="192"/>
        <v>0</v>
      </c>
      <c r="DC147" s="52">
        <f t="shared" si="192"/>
        <v>0</v>
      </c>
      <c r="DD147" s="52">
        <f t="shared" si="192"/>
        <v>0</v>
      </c>
      <c r="DE147" s="52">
        <f t="shared" si="192"/>
        <v>0</v>
      </c>
      <c r="DF147" s="52">
        <f t="shared" si="192"/>
        <v>0</v>
      </c>
      <c r="DG147" s="52">
        <f t="shared" si="192"/>
        <v>0</v>
      </c>
      <c r="DH147" s="52">
        <f t="shared" si="192"/>
        <v>0</v>
      </c>
    </row>
    <row r="148" spans="3:112" x14ac:dyDescent="0.25">
      <c r="C148" s="151"/>
      <c r="D148" s="151"/>
      <c r="E148" s="152"/>
      <c r="F148" s="153"/>
      <c r="G148" s="154"/>
      <c r="AQ148" s="52"/>
    </row>
    <row r="149" spans="3:112" ht="15.75" x14ac:dyDescent="0.25">
      <c r="C149" s="151"/>
      <c r="D149" s="155" t="s">
        <v>382</v>
      </c>
      <c r="F149" s="52"/>
      <c r="G149" s="154">
        <v>24962031699</v>
      </c>
      <c r="AB149" s="52">
        <f>+AB146+AX146</f>
        <v>24962031699</v>
      </c>
      <c r="BS149" s="52">
        <f ca="1">+BS146+CO146</f>
        <v>24962031699</v>
      </c>
    </row>
    <row r="150" spans="3:112" x14ac:dyDescent="0.25">
      <c r="C150" s="151"/>
      <c r="D150" s="156"/>
      <c r="F150" s="52"/>
      <c r="G150" s="52"/>
    </row>
    <row r="151" spans="3:112" x14ac:dyDescent="0.25">
      <c r="D151" s="157"/>
      <c r="E151" s="152"/>
      <c r="F151" s="158"/>
      <c r="G151" s="154"/>
      <c r="X151" s="52"/>
      <c r="AB151" s="52"/>
      <c r="BP151" s="52"/>
    </row>
    <row r="152" spans="3:112" x14ac:dyDescent="0.25">
      <c r="D152" s="157"/>
      <c r="E152" s="152"/>
      <c r="F152" s="158"/>
      <c r="G152" s="154"/>
      <c r="BP152" s="52"/>
      <c r="BS152" s="52"/>
    </row>
    <row r="153" spans="3:112" x14ac:dyDescent="0.25">
      <c r="D153" s="157"/>
      <c r="E153" s="152"/>
      <c r="F153" s="158"/>
      <c r="G153" s="154"/>
    </row>
    <row r="154" spans="3:112" x14ac:dyDescent="0.25">
      <c r="D154" s="151"/>
      <c r="E154" s="152"/>
      <c r="F154" s="153"/>
      <c r="G154" s="154"/>
      <c r="H154" s="52"/>
      <c r="AB154" s="52">
        <f>+AB146-'[1]SEPTIEMBRE 2016'!$G$9</f>
        <v>0</v>
      </c>
    </row>
    <row r="155" spans="3:112" x14ac:dyDescent="0.25">
      <c r="D155" s="151"/>
      <c r="E155" s="152"/>
      <c r="F155" s="151"/>
      <c r="G155" s="154"/>
    </row>
    <row r="156" spans="3:112" x14ac:dyDescent="0.25">
      <c r="D156" s="151"/>
      <c r="E156" s="152"/>
      <c r="F156" s="151"/>
      <c r="G156" s="154"/>
    </row>
  </sheetData>
  <mergeCells count="81">
    <mergeCell ref="P1:P3"/>
    <mergeCell ref="Q1:Q3"/>
    <mergeCell ref="R1:R3"/>
    <mergeCell ref="S1:S3"/>
    <mergeCell ref="N1:N3"/>
    <mergeCell ref="O1:O3"/>
    <mergeCell ref="A2:A3"/>
    <mergeCell ref="B2:B3"/>
    <mergeCell ref="C2:C3"/>
    <mergeCell ref="D2:D3"/>
    <mergeCell ref="E2:E3"/>
    <mergeCell ref="F2:F3"/>
    <mergeCell ref="C1:F1"/>
    <mergeCell ref="I1:I3"/>
    <mergeCell ref="J1:J3"/>
    <mergeCell ref="K1:K3"/>
    <mergeCell ref="L1:L3"/>
    <mergeCell ref="M1:M3"/>
    <mergeCell ref="B4:B6"/>
    <mergeCell ref="B8:B12"/>
    <mergeCell ref="B14:B16"/>
    <mergeCell ref="B18:B19"/>
    <mergeCell ref="H1:H3"/>
    <mergeCell ref="A35:A49"/>
    <mergeCell ref="B35:B38"/>
    <mergeCell ref="B39:B42"/>
    <mergeCell ref="B43:B45"/>
    <mergeCell ref="B46:B49"/>
    <mergeCell ref="B113:F113"/>
    <mergeCell ref="A114:A125"/>
    <mergeCell ref="B114:B116"/>
    <mergeCell ref="B117:B125"/>
    <mergeCell ref="A73:A85"/>
    <mergeCell ref="B73:B79"/>
    <mergeCell ref="B80:B81"/>
    <mergeCell ref="B82:B85"/>
    <mergeCell ref="A86:A92"/>
    <mergeCell ref="B86:B87"/>
    <mergeCell ref="B88:B92"/>
    <mergeCell ref="G1:G3"/>
    <mergeCell ref="B93:F93"/>
    <mergeCell ref="A95:A109"/>
    <mergeCell ref="B95:B102"/>
    <mergeCell ref="B106:B108"/>
    <mergeCell ref="A50:A59"/>
    <mergeCell ref="B50:B51"/>
    <mergeCell ref="B52:B53"/>
    <mergeCell ref="B54:B59"/>
    <mergeCell ref="B60:E60"/>
    <mergeCell ref="A61:A72"/>
    <mergeCell ref="B61:B63"/>
    <mergeCell ref="B65:B72"/>
    <mergeCell ref="B20:E20"/>
    <mergeCell ref="B21:B23"/>
    <mergeCell ref="B26:B34"/>
    <mergeCell ref="A127:A132"/>
    <mergeCell ref="B127:B129"/>
    <mergeCell ref="B133:D133"/>
    <mergeCell ref="C135:E135"/>
    <mergeCell ref="C146:D146"/>
    <mergeCell ref="AI1:AJ2"/>
    <mergeCell ref="T1:T3"/>
    <mergeCell ref="U1:U3"/>
    <mergeCell ref="V1:V3"/>
    <mergeCell ref="W1:W3"/>
    <mergeCell ref="X1:X3"/>
    <mergeCell ref="Y1:Y3"/>
    <mergeCell ref="Z1:Z3"/>
    <mergeCell ref="AA1:AB2"/>
    <mergeCell ref="AC1:AD2"/>
    <mergeCell ref="AE1:AF2"/>
    <mergeCell ref="AG1:AH2"/>
    <mergeCell ref="AW1:AX2"/>
    <mergeCell ref="BR1:BS2"/>
    <mergeCell ref="CN1:CO2"/>
    <mergeCell ref="AK1:AL2"/>
    <mergeCell ref="AM1:AN2"/>
    <mergeCell ref="AO1:AP2"/>
    <mergeCell ref="AQ1:AR2"/>
    <mergeCell ref="AS1:AT2"/>
    <mergeCell ref="AU1:AV2"/>
  </mergeCells>
  <printOptions horizontalCentered="1" verticalCentered="1"/>
  <pageMargins left="0.35433070866141736" right="0.27559055118110237" top="0.9055118110236221" bottom="0.47244094488188981" header="0.59055118110236227" footer="0.27559055118110237"/>
  <pageSetup scale="60" orientation="landscape" r:id="rId1"/>
  <headerFooter>
    <oddHeader xml:space="preserve">&amp;C&amp;"-,Negrita"&amp;14UNIVERSIDAD SURCOLOMBIANA PLAN DE ACCIÓN  VIGENCIA  2016
 RESOLUCION  232 DEL 19 DE SEPTIEMBRE DE
 DE 2016
</oddHeader>
    <oddFooter>&amp;LUNIDAD DE PLANEAMIENTO ECONÓMICO Y ADMINISTRATIVO&amp;COFICINA DE PLANEACIÓN&amp;RPágina &amp;P de &amp;N</oddFooter>
  </headerFooter>
  <rowBreaks count="1" manualBreakCount="1">
    <brk id="26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N158"/>
  <sheetViews>
    <sheetView showGridLines="0" tabSelected="1" topLeftCell="E1" zoomScaleNormal="100" zoomScalePageLayoutView="50" workbookViewId="0">
      <selection activeCell="CO149" sqref="CO149"/>
    </sheetView>
  </sheetViews>
  <sheetFormatPr baseColWidth="10" defaultRowHeight="15" x14ac:dyDescent="0.25"/>
  <cols>
    <col min="1" max="1" width="4.85546875" hidden="1" customWidth="1"/>
    <col min="2" max="2" width="23" hidden="1" customWidth="1"/>
    <col min="3" max="3" width="9.42578125" hidden="1" customWidth="1"/>
    <col min="4" max="4" width="55.85546875" customWidth="1"/>
    <col min="5" max="5" width="6.28515625" customWidth="1"/>
    <col min="6" max="6" width="14.28515625" hidden="1" customWidth="1"/>
    <col min="7" max="7" width="16.140625" customWidth="1"/>
    <col min="8" max="8" width="11.42578125" hidden="1" customWidth="1"/>
    <col min="9" max="9" width="14.42578125" hidden="1" customWidth="1"/>
    <col min="10" max="10" width="12.5703125" hidden="1" customWidth="1"/>
    <col min="11" max="11" width="12.28515625" hidden="1" customWidth="1"/>
    <col min="12" max="12" width="11.5703125" hidden="1" customWidth="1"/>
    <col min="13" max="13" width="8.42578125" hidden="1" customWidth="1"/>
    <col min="14" max="14" width="10.140625" hidden="1" customWidth="1"/>
    <col min="15" max="15" width="10.7109375" hidden="1" customWidth="1"/>
    <col min="16" max="16" width="11" hidden="1" customWidth="1"/>
    <col min="17" max="17" width="11.140625" hidden="1" customWidth="1"/>
    <col min="18" max="18" width="12.7109375" hidden="1" customWidth="1"/>
    <col min="19" max="19" width="12.28515625" hidden="1" customWidth="1"/>
    <col min="20" max="20" width="11.140625" hidden="1" customWidth="1"/>
    <col min="21" max="22" width="12.7109375" hidden="1" customWidth="1"/>
    <col min="23" max="23" width="11.28515625" hidden="1" customWidth="1"/>
    <col min="24" max="24" width="14.5703125" hidden="1" customWidth="1"/>
    <col min="25" max="26" width="12.28515625" hidden="1" customWidth="1"/>
    <col min="27" max="27" width="8.5703125" customWidth="1"/>
    <col min="28" max="28" width="14.42578125" customWidth="1"/>
    <col min="29" max="29" width="14.42578125" hidden="1" customWidth="1"/>
    <col min="30" max="30" width="13.5703125" hidden="1" customWidth="1"/>
    <col min="31" max="31" width="14" hidden="1" customWidth="1"/>
    <col min="32" max="32" width="17.28515625" hidden="1" customWidth="1"/>
    <col min="33" max="33" width="16.140625" hidden="1" customWidth="1"/>
    <col min="34" max="35" width="15" hidden="1" customWidth="1"/>
    <col min="36" max="36" width="11.7109375" hidden="1" customWidth="1"/>
    <col min="37" max="37" width="13.28515625" hidden="1" customWidth="1"/>
    <col min="38" max="38" width="12.5703125" hidden="1" customWidth="1"/>
    <col min="39" max="39" width="14.42578125" hidden="1" customWidth="1"/>
    <col min="40" max="40" width="14.140625" hidden="1" customWidth="1"/>
    <col min="41" max="41" width="13.28515625" hidden="1" customWidth="1"/>
    <col min="42" max="42" width="13.5703125" hidden="1" customWidth="1"/>
    <col min="43" max="43" width="13.42578125" hidden="1" customWidth="1"/>
    <col min="44" max="44" width="17.7109375" hidden="1" customWidth="1"/>
    <col min="45" max="45" width="13.42578125" hidden="1" customWidth="1"/>
    <col min="46" max="46" width="14.85546875" hidden="1" customWidth="1"/>
    <col min="47" max="47" width="15.5703125" hidden="1" customWidth="1"/>
    <col min="48" max="48" width="13.85546875" hidden="1" customWidth="1"/>
    <col min="49" max="50" width="14.85546875" customWidth="1"/>
    <col min="51" max="51" width="14.5703125" hidden="1" customWidth="1"/>
    <col min="52" max="52" width="15.140625" hidden="1" customWidth="1"/>
    <col min="53" max="53" width="14.42578125" hidden="1" customWidth="1"/>
    <col min="54" max="54" width="11.28515625" hidden="1" customWidth="1"/>
    <col min="55" max="55" width="13.85546875" hidden="1" customWidth="1"/>
    <col min="56" max="56" width="10" hidden="1" customWidth="1"/>
    <col min="57" max="57" width="11" hidden="1" customWidth="1"/>
    <col min="58" max="59" width="9.28515625" hidden="1" customWidth="1"/>
    <col min="60" max="60" width="12.5703125" hidden="1" customWidth="1"/>
    <col min="61" max="61" width="13.5703125" hidden="1" customWidth="1"/>
    <col min="62" max="62" width="15.140625" hidden="1" customWidth="1"/>
    <col min="63" max="63" width="13.85546875" hidden="1" customWidth="1"/>
    <col min="64" max="64" width="15" hidden="1" customWidth="1"/>
    <col min="65" max="66" width="13.42578125" hidden="1" customWidth="1"/>
    <col min="67" max="67" width="13.5703125" hidden="1" customWidth="1"/>
    <col min="68" max="68" width="13.7109375" hidden="1" customWidth="1"/>
    <col min="69" max="69" width="14" hidden="1" customWidth="1"/>
    <col min="70" max="70" width="10.28515625" customWidth="1"/>
    <col min="71" max="71" width="14" customWidth="1"/>
    <col min="72" max="72" width="14" hidden="1" customWidth="1"/>
    <col min="73" max="73" width="12.28515625" hidden="1" customWidth="1"/>
    <col min="74" max="74" width="13.28515625" hidden="1" customWidth="1"/>
    <col min="75" max="75" width="14" hidden="1" customWidth="1"/>
    <col min="76" max="76" width="15.42578125" hidden="1" customWidth="1"/>
    <col min="77" max="77" width="15.28515625" hidden="1" customWidth="1"/>
    <col min="78" max="78" width="12.42578125" hidden="1" customWidth="1"/>
    <col min="79" max="79" width="11.7109375" hidden="1" customWidth="1"/>
    <col min="80" max="80" width="13.42578125" hidden="1" customWidth="1"/>
    <col min="81" max="81" width="11.42578125" hidden="1" customWidth="1"/>
    <col min="82" max="82" width="15.7109375" hidden="1" customWidth="1"/>
    <col min="83" max="83" width="16.28515625" hidden="1" customWidth="1"/>
    <col min="84" max="84" width="16.5703125" hidden="1" customWidth="1"/>
    <col min="85" max="85" width="17.140625" hidden="1" customWidth="1"/>
    <col min="86" max="86" width="13" hidden="1" customWidth="1"/>
    <col min="87" max="88" width="14.28515625" hidden="1" customWidth="1"/>
    <col min="89" max="89" width="13.7109375" hidden="1" customWidth="1"/>
    <col min="90" max="90" width="12.28515625" hidden="1" customWidth="1"/>
    <col min="91" max="91" width="13.42578125" hidden="1" customWidth="1"/>
    <col min="92" max="92" width="9.7109375" customWidth="1"/>
    <col min="93" max="93" width="15" customWidth="1"/>
    <col min="94" max="94" width="13.7109375" hidden="1" customWidth="1"/>
    <col min="95" max="95" width="14.42578125" hidden="1" customWidth="1"/>
    <col min="96" max="96" width="15.5703125" hidden="1" customWidth="1"/>
    <col min="97" max="99" width="13.5703125" hidden="1" customWidth="1"/>
    <col min="100" max="101" width="13.85546875" hidden="1" customWidth="1"/>
    <col min="102" max="102" width="11.42578125" hidden="1" customWidth="1"/>
    <col min="103" max="103" width="13.7109375" hidden="1" customWidth="1"/>
    <col min="104" max="104" width="13.85546875" hidden="1" customWidth="1"/>
    <col min="105" max="105" width="12.28515625" hidden="1" customWidth="1"/>
    <col min="106" max="106" width="13.85546875" hidden="1" customWidth="1"/>
    <col min="107" max="107" width="13.28515625" hidden="1" customWidth="1"/>
    <col min="108" max="109" width="14.42578125" hidden="1" customWidth="1"/>
    <col min="110" max="111" width="14.85546875" hidden="1" customWidth="1"/>
    <col min="112" max="112" width="13.5703125" hidden="1" customWidth="1"/>
    <col min="113" max="113" width="5.140625" customWidth="1"/>
    <col min="116" max="117" width="13.7109375" bestFit="1" customWidth="1"/>
    <col min="118" max="118" width="12.85546875" bestFit="1" customWidth="1"/>
  </cols>
  <sheetData>
    <row r="1" spans="1:118" ht="15" customHeight="1" x14ac:dyDescent="0.3">
      <c r="C1" s="203" t="s">
        <v>0</v>
      </c>
      <c r="D1" s="203"/>
      <c r="E1" s="203"/>
      <c r="F1" s="203"/>
      <c r="G1" s="272" t="s">
        <v>11</v>
      </c>
      <c r="H1" s="272" t="s">
        <v>11</v>
      </c>
      <c r="I1" s="272" t="s">
        <v>11</v>
      </c>
      <c r="J1" s="272" t="s">
        <v>11</v>
      </c>
      <c r="K1" s="272" t="s">
        <v>11</v>
      </c>
      <c r="L1" s="272" t="s">
        <v>11</v>
      </c>
      <c r="M1" s="272" t="s">
        <v>11</v>
      </c>
      <c r="N1" s="272" t="s">
        <v>11</v>
      </c>
      <c r="O1" s="272" t="s">
        <v>11</v>
      </c>
      <c r="P1" s="272" t="s">
        <v>11</v>
      </c>
      <c r="Q1" s="272" t="s">
        <v>11</v>
      </c>
      <c r="R1" s="272" t="s">
        <v>11</v>
      </c>
      <c r="S1" s="272" t="s">
        <v>11</v>
      </c>
      <c r="T1" s="272" t="s">
        <v>11</v>
      </c>
      <c r="U1" s="272" t="s">
        <v>11</v>
      </c>
      <c r="V1" s="272" t="s">
        <v>11</v>
      </c>
      <c r="W1" s="272" t="s">
        <v>11</v>
      </c>
      <c r="X1" s="272" t="s">
        <v>11</v>
      </c>
      <c r="Y1" s="272" t="s">
        <v>11</v>
      </c>
      <c r="Z1" s="272" t="s">
        <v>11</v>
      </c>
      <c r="AA1" s="264" t="s">
        <v>383</v>
      </c>
      <c r="AB1" s="265"/>
      <c r="AC1" s="264" t="s">
        <v>383</v>
      </c>
      <c r="AD1" s="265"/>
      <c r="AE1" s="264" t="s">
        <v>383</v>
      </c>
      <c r="AF1" s="265"/>
      <c r="AG1" s="264" t="s">
        <v>383</v>
      </c>
      <c r="AH1" s="265"/>
      <c r="AI1" s="264" t="s">
        <v>383</v>
      </c>
      <c r="AJ1" s="265"/>
      <c r="AK1" s="264" t="s">
        <v>383</v>
      </c>
      <c r="AL1" s="265"/>
      <c r="AM1" s="264" t="s">
        <v>383</v>
      </c>
      <c r="AN1" s="265"/>
      <c r="AO1" s="264" t="s">
        <v>383</v>
      </c>
      <c r="AP1" s="265"/>
      <c r="AQ1" s="264" t="s">
        <v>383</v>
      </c>
      <c r="AR1" s="265"/>
      <c r="AS1" s="264" t="s">
        <v>383</v>
      </c>
      <c r="AT1" s="265"/>
      <c r="AU1" s="264" t="s">
        <v>383</v>
      </c>
      <c r="AV1" s="265"/>
      <c r="AW1" s="260" t="s">
        <v>385</v>
      </c>
      <c r="AX1" s="261"/>
      <c r="AY1" s="161" t="s">
        <v>3</v>
      </c>
      <c r="AZ1" s="162"/>
      <c r="BA1" s="162"/>
      <c r="BB1" s="162"/>
      <c r="BC1" s="162"/>
      <c r="BD1" s="162"/>
      <c r="BE1" s="162"/>
      <c r="BF1" s="162"/>
      <c r="BG1" s="162"/>
      <c r="BH1" s="162"/>
      <c r="BI1" s="162"/>
      <c r="BJ1" s="162"/>
      <c r="BK1" s="162"/>
      <c r="BL1" s="162"/>
      <c r="BM1" s="162"/>
      <c r="BN1" s="162"/>
      <c r="BO1" s="162"/>
      <c r="BP1" s="162"/>
      <c r="BQ1" s="162"/>
      <c r="BR1" s="264" t="s">
        <v>386</v>
      </c>
      <c r="BS1" s="265"/>
      <c r="BT1" s="162"/>
      <c r="BU1" s="162"/>
      <c r="BV1" s="162"/>
      <c r="BW1" s="162"/>
      <c r="BX1" s="162"/>
      <c r="BY1" s="162"/>
      <c r="BZ1" s="162"/>
      <c r="CA1" s="162"/>
      <c r="CB1" s="162"/>
      <c r="CC1" s="162"/>
      <c r="CD1" s="162"/>
      <c r="CE1" s="162"/>
      <c r="CF1" s="162"/>
      <c r="CG1" s="162"/>
      <c r="CH1" s="162"/>
      <c r="CI1" s="162"/>
      <c r="CJ1" s="162"/>
      <c r="CK1" s="162"/>
      <c r="CL1" s="162"/>
      <c r="CM1" s="163"/>
      <c r="CN1" s="268" t="s">
        <v>387</v>
      </c>
      <c r="CO1" s="269"/>
      <c r="CP1" s="162"/>
      <c r="CQ1" s="162"/>
      <c r="CR1" s="162"/>
      <c r="CS1" s="162"/>
      <c r="CT1" s="162"/>
      <c r="CU1" s="162"/>
      <c r="CV1" s="162"/>
      <c r="CW1" s="162"/>
      <c r="CX1" s="162"/>
      <c r="CY1" s="162"/>
      <c r="CZ1" s="162"/>
      <c r="DA1" s="162"/>
      <c r="DB1" s="162"/>
      <c r="DC1" s="162"/>
      <c r="DD1" s="162"/>
      <c r="DE1" s="162"/>
      <c r="DF1" s="162"/>
      <c r="DG1" s="162"/>
      <c r="DH1" s="162"/>
    </row>
    <row r="2" spans="1:118" ht="24" customHeight="1" x14ac:dyDescent="0.25">
      <c r="A2" s="209" t="s">
        <v>5</v>
      </c>
      <c r="B2" s="209" t="s">
        <v>6</v>
      </c>
      <c r="C2" s="210" t="s">
        <v>7</v>
      </c>
      <c r="D2" s="209" t="s">
        <v>8</v>
      </c>
      <c r="E2" s="212" t="s">
        <v>9</v>
      </c>
      <c r="F2" s="225" t="s">
        <v>10</v>
      </c>
      <c r="G2" s="273"/>
      <c r="H2" s="273"/>
      <c r="I2" s="273"/>
      <c r="J2" s="273"/>
      <c r="K2" s="273"/>
      <c r="L2" s="273"/>
      <c r="M2" s="273"/>
      <c r="N2" s="273"/>
      <c r="O2" s="273"/>
      <c r="P2" s="273"/>
      <c r="Q2" s="273"/>
      <c r="R2" s="273"/>
      <c r="S2" s="273"/>
      <c r="T2" s="273"/>
      <c r="U2" s="273"/>
      <c r="V2" s="273"/>
      <c r="W2" s="273"/>
      <c r="X2" s="273"/>
      <c r="Y2" s="273"/>
      <c r="Z2" s="273"/>
      <c r="AA2" s="266"/>
      <c r="AB2" s="267"/>
      <c r="AC2" s="266"/>
      <c r="AD2" s="267"/>
      <c r="AE2" s="266"/>
      <c r="AF2" s="267"/>
      <c r="AG2" s="266"/>
      <c r="AH2" s="267"/>
      <c r="AI2" s="266"/>
      <c r="AJ2" s="267"/>
      <c r="AK2" s="266"/>
      <c r="AL2" s="267"/>
      <c r="AM2" s="266"/>
      <c r="AN2" s="267"/>
      <c r="AO2" s="266"/>
      <c r="AP2" s="267"/>
      <c r="AQ2" s="266"/>
      <c r="AR2" s="267"/>
      <c r="AS2" s="266"/>
      <c r="AT2" s="267"/>
      <c r="AU2" s="266"/>
      <c r="AV2" s="267"/>
      <c r="AW2" s="262"/>
      <c r="AX2" s="263"/>
      <c r="AY2" s="164" t="s">
        <v>13</v>
      </c>
      <c r="AZ2" s="165"/>
      <c r="BA2" s="165"/>
      <c r="BB2" s="165"/>
      <c r="BC2" s="165"/>
      <c r="BD2" s="165"/>
      <c r="BE2" s="165"/>
      <c r="BF2" s="165"/>
      <c r="BG2" s="166"/>
      <c r="BH2" s="164" t="s">
        <v>13</v>
      </c>
      <c r="BI2" s="165"/>
      <c r="BJ2" s="165"/>
      <c r="BK2" s="165"/>
      <c r="BL2" s="165"/>
      <c r="BM2" s="165"/>
      <c r="BN2" s="165"/>
      <c r="BO2" s="165"/>
      <c r="BP2" s="165"/>
      <c r="BQ2" s="166"/>
      <c r="BR2" s="266"/>
      <c r="BS2" s="267"/>
      <c r="BT2" s="9"/>
      <c r="BU2" s="167" t="s">
        <v>14</v>
      </c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67" t="s">
        <v>14</v>
      </c>
      <c r="CG2" s="10"/>
      <c r="CH2" s="10"/>
      <c r="CI2" s="10"/>
      <c r="CJ2" s="10"/>
      <c r="CK2" s="10"/>
      <c r="CL2" s="10"/>
      <c r="CM2" s="168"/>
      <c r="CN2" s="270"/>
      <c r="CO2" s="271"/>
      <c r="CP2" s="165"/>
      <c r="CQ2" s="165"/>
      <c r="CR2" s="165"/>
      <c r="CS2" s="165"/>
      <c r="CT2" s="165"/>
      <c r="CU2" s="165"/>
      <c r="CV2" s="165"/>
      <c r="CW2" s="165"/>
      <c r="CX2" s="165"/>
      <c r="CY2" s="165" t="s">
        <v>13</v>
      </c>
      <c r="CZ2" s="165"/>
      <c r="DA2" s="165"/>
      <c r="DB2" s="165"/>
      <c r="DC2" s="165"/>
      <c r="DD2" s="165"/>
      <c r="DE2" s="165"/>
      <c r="DF2" s="165"/>
      <c r="DG2" s="165"/>
      <c r="DH2" s="166"/>
    </row>
    <row r="3" spans="1:118" ht="39" customHeight="1" x14ac:dyDescent="0.25">
      <c r="A3" s="209"/>
      <c r="B3" s="209"/>
      <c r="C3" s="211"/>
      <c r="D3" s="209"/>
      <c r="E3" s="213"/>
      <c r="F3" s="226"/>
      <c r="G3" s="274"/>
      <c r="H3" s="274"/>
      <c r="I3" s="274"/>
      <c r="J3" s="274"/>
      <c r="K3" s="274"/>
      <c r="L3" s="274"/>
      <c r="M3" s="274"/>
      <c r="N3" s="274"/>
      <c r="O3" s="274"/>
      <c r="P3" s="274"/>
      <c r="Q3" s="274"/>
      <c r="R3" s="274"/>
      <c r="S3" s="274"/>
      <c r="T3" s="274"/>
      <c r="U3" s="274"/>
      <c r="V3" s="274"/>
      <c r="W3" s="274"/>
      <c r="X3" s="274"/>
      <c r="Y3" s="274"/>
      <c r="Z3" s="274"/>
      <c r="AA3" s="159" t="s">
        <v>35</v>
      </c>
      <c r="AB3" s="159" t="s">
        <v>384</v>
      </c>
      <c r="AC3" s="159" t="s">
        <v>35</v>
      </c>
      <c r="AD3" s="159" t="s">
        <v>384</v>
      </c>
      <c r="AE3" s="159" t="s">
        <v>35</v>
      </c>
      <c r="AF3" s="159" t="s">
        <v>384</v>
      </c>
      <c r="AG3" s="159" t="s">
        <v>35</v>
      </c>
      <c r="AH3" s="159" t="s">
        <v>384</v>
      </c>
      <c r="AI3" s="159" t="s">
        <v>35</v>
      </c>
      <c r="AJ3" s="159" t="s">
        <v>384</v>
      </c>
      <c r="AK3" s="159" t="s">
        <v>35</v>
      </c>
      <c r="AL3" s="159" t="s">
        <v>384</v>
      </c>
      <c r="AM3" s="159" t="s">
        <v>35</v>
      </c>
      <c r="AN3" s="159" t="s">
        <v>384</v>
      </c>
      <c r="AO3" s="159" t="s">
        <v>35</v>
      </c>
      <c r="AP3" s="159" t="s">
        <v>384</v>
      </c>
      <c r="AQ3" s="159" t="s">
        <v>35</v>
      </c>
      <c r="AR3" s="159" t="s">
        <v>384</v>
      </c>
      <c r="AS3" s="159" t="s">
        <v>35</v>
      </c>
      <c r="AT3" s="159" t="s">
        <v>384</v>
      </c>
      <c r="AU3" s="159" t="s">
        <v>35</v>
      </c>
      <c r="AV3" s="159" t="s">
        <v>384</v>
      </c>
      <c r="AW3" s="160" t="s">
        <v>35</v>
      </c>
      <c r="AX3" s="160" t="s">
        <v>384</v>
      </c>
      <c r="AY3" s="17" t="s">
        <v>16</v>
      </c>
      <c r="AZ3" s="17" t="s">
        <v>37</v>
      </c>
      <c r="BA3" s="17" t="s">
        <v>18</v>
      </c>
      <c r="BB3" s="17" t="s">
        <v>19</v>
      </c>
      <c r="BC3" s="17" t="s">
        <v>20</v>
      </c>
      <c r="BD3" s="17" t="s">
        <v>21</v>
      </c>
      <c r="BE3" s="17" t="s">
        <v>22</v>
      </c>
      <c r="BF3" s="17" t="s">
        <v>23</v>
      </c>
      <c r="BG3" s="17" t="s">
        <v>24</v>
      </c>
      <c r="BH3" s="17" t="s">
        <v>38</v>
      </c>
      <c r="BI3" s="17" t="s">
        <v>26</v>
      </c>
      <c r="BJ3" s="17" t="s">
        <v>27</v>
      </c>
      <c r="BK3" s="17" t="s">
        <v>28</v>
      </c>
      <c r="BL3" s="17" t="str">
        <f>+AQ3</f>
        <v>%</v>
      </c>
      <c r="BM3" s="17" t="s">
        <v>30</v>
      </c>
      <c r="BN3" s="17" t="s">
        <v>31</v>
      </c>
      <c r="BO3" s="17" t="s">
        <v>32</v>
      </c>
      <c r="BP3" s="17" t="s">
        <v>33</v>
      </c>
      <c r="BQ3" s="17" t="s">
        <v>34</v>
      </c>
      <c r="BR3" s="159" t="s">
        <v>35</v>
      </c>
      <c r="BS3" s="159" t="s">
        <v>384</v>
      </c>
      <c r="BT3" s="14" t="s">
        <v>36</v>
      </c>
      <c r="BU3" s="14" t="s">
        <v>16</v>
      </c>
      <c r="BV3" s="14" t="s">
        <v>37</v>
      </c>
      <c r="BW3" s="14" t="s">
        <v>18</v>
      </c>
      <c r="BX3" s="14" t="s">
        <v>19</v>
      </c>
      <c r="BY3" s="14" t="s">
        <v>20</v>
      </c>
      <c r="BZ3" s="14" t="s">
        <v>21</v>
      </c>
      <c r="CA3" s="14" t="s">
        <v>22</v>
      </c>
      <c r="CB3" s="14" t="s">
        <v>23</v>
      </c>
      <c r="CC3" s="14" t="s">
        <v>24</v>
      </c>
      <c r="CD3" s="14" t="s">
        <v>38</v>
      </c>
      <c r="CE3" s="14" t="s">
        <v>26</v>
      </c>
      <c r="CF3" s="14" t="s">
        <v>27</v>
      </c>
      <c r="CG3" s="14" t="s">
        <v>28</v>
      </c>
      <c r="CH3" s="14" t="str">
        <f>+BL3</f>
        <v>%</v>
      </c>
      <c r="CI3" s="14" t="s">
        <v>30</v>
      </c>
      <c r="CJ3" s="14" t="s">
        <v>31</v>
      </c>
      <c r="CK3" s="14" t="s">
        <v>32</v>
      </c>
      <c r="CL3" s="14" t="s">
        <v>33</v>
      </c>
      <c r="CM3" s="14" t="s">
        <v>34</v>
      </c>
      <c r="CN3" s="160" t="s">
        <v>35</v>
      </c>
      <c r="CO3" s="160" t="s">
        <v>384</v>
      </c>
      <c r="CP3" s="17" t="s">
        <v>16</v>
      </c>
      <c r="CQ3" s="17" t="s">
        <v>37</v>
      </c>
      <c r="CR3" s="17" t="s">
        <v>18</v>
      </c>
      <c r="CS3" s="17" t="s">
        <v>19</v>
      </c>
      <c r="CT3" s="17" t="s">
        <v>20</v>
      </c>
      <c r="CU3" s="17" t="s">
        <v>21</v>
      </c>
      <c r="CV3" s="17" t="s">
        <v>22</v>
      </c>
      <c r="CW3" s="17" t="s">
        <v>23</v>
      </c>
      <c r="CX3" s="17" t="s">
        <v>24</v>
      </c>
      <c r="CY3" s="17" t="s">
        <v>38</v>
      </c>
      <c r="CZ3" s="17" t="s">
        <v>26</v>
      </c>
      <c r="DA3" s="17" t="s">
        <v>27</v>
      </c>
      <c r="DB3" s="17" t="s">
        <v>28</v>
      </c>
      <c r="DC3" s="18" t="str">
        <f>+CH3</f>
        <v>%</v>
      </c>
      <c r="DD3" s="17" t="s">
        <v>30</v>
      </c>
      <c r="DE3" s="17" t="s">
        <v>31</v>
      </c>
      <c r="DF3" s="17" t="s">
        <v>32</v>
      </c>
      <c r="DG3" s="17" t="s">
        <v>33</v>
      </c>
      <c r="DH3" s="17" t="s">
        <v>34</v>
      </c>
      <c r="DJ3" s="192"/>
      <c r="DK3" s="192"/>
      <c r="DL3" s="193" t="s">
        <v>402</v>
      </c>
      <c r="DM3" s="193" t="s">
        <v>403</v>
      </c>
      <c r="DN3" s="194" t="s">
        <v>404</v>
      </c>
    </row>
    <row r="4" spans="1:118" ht="48.75" hidden="1" customHeight="1" x14ac:dyDescent="0.25">
      <c r="A4" s="19" t="s">
        <v>39</v>
      </c>
      <c r="B4" s="214" t="s">
        <v>40</v>
      </c>
      <c r="C4" s="20" t="s">
        <v>41</v>
      </c>
      <c r="D4" s="21" t="s">
        <v>42</v>
      </c>
      <c r="E4" s="22">
        <v>510</v>
      </c>
      <c r="F4" s="23" t="s">
        <v>43</v>
      </c>
      <c r="G4" s="24">
        <f t="shared" ref="G4:G19" si="0">SUM(H4:Z4)</f>
        <v>25000000</v>
      </c>
      <c r="H4" s="24"/>
      <c r="I4" s="24"/>
      <c r="J4" s="24"/>
      <c r="K4" s="24">
        <v>25000000</v>
      </c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5">
        <f t="shared" ref="AA4:AA67" si="1">+AB4/G4</f>
        <v>1</v>
      </c>
      <c r="AB4" s="24">
        <f t="shared" ref="AB4:AB19" si="2">SUM(AC4:AV4)</f>
        <v>25000000</v>
      </c>
      <c r="AC4" s="26"/>
      <c r="AD4" s="27"/>
      <c r="AE4" s="27"/>
      <c r="AF4" s="27"/>
      <c r="AG4" s="24">
        <v>25000000</v>
      </c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5">
        <f t="shared" ref="AW4:AW69" si="3">1-AA4</f>
        <v>0</v>
      </c>
      <c r="AX4" s="24">
        <f t="shared" ref="AX4:AX19" si="4">SUM(AY4:BQ4)</f>
        <v>0</v>
      </c>
      <c r="AY4" s="24">
        <f t="shared" ref="AY4:AY9" si="5">+H4</f>
        <v>0</v>
      </c>
      <c r="AZ4" s="24">
        <f t="shared" ref="AZ4:BA16" si="6">I4-AE4</f>
        <v>0</v>
      </c>
      <c r="BA4" s="24">
        <f t="shared" si="6"/>
        <v>0</v>
      </c>
      <c r="BB4" s="24">
        <f t="shared" ref="BB4:BM16" si="7">+K4-AG4</f>
        <v>0</v>
      </c>
      <c r="BC4" s="24">
        <f t="shared" si="7"/>
        <v>0</v>
      </c>
      <c r="BD4" s="24">
        <f t="shared" si="7"/>
        <v>0</v>
      </c>
      <c r="BE4" s="24">
        <f t="shared" si="7"/>
        <v>0</v>
      </c>
      <c r="BF4" s="24">
        <f t="shared" si="7"/>
        <v>0</v>
      </c>
      <c r="BG4" s="24">
        <f t="shared" si="7"/>
        <v>0</v>
      </c>
      <c r="BH4" s="24">
        <f t="shared" si="7"/>
        <v>0</v>
      </c>
      <c r="BI4" s="24">
        <f t="shared" si="7"/>
        <v>0</v>
      </c>
      <c r="BJ4" s="24">
        <f t="shared" si="7"/>
        <v>0</v>
      </c>
      <c r="BK4" s="24">
        <f t="shared" si="7"/>
        <v>0</v>
      </c>
      <c r="BL4" s="24">
        <f t="shared" si="7"/>
        <v>0</v>
      </c>
      <c r="BM4" s="24">
        <f t="shared" si="7"/>
        <v>0</v>
      </c>
      <c r="BN4" s="24"/>
      <c r="BO4" s="24">
        <f>+X4-AT4</f>
        <v>0</v>
      </c>
      <c r="BP4" s="24">
        <f t="shared" ref="BP4:BP16" si="8">Y4-AU4</f>
        <v>0</v>
      </c>
      <c r="BQ4" s="24">
        <f t="shared" ref="BQ4:BQ16" si="9">+Z4-AV4</f>
        <v>0</v>
      </c>
      <c r="BR4" s="25">
        <f t="shared" ref="BR4:BR67" si="10">+BS4/G4</f>
        <v>0.93398736000000004</v>
      </c>
      <c r="BS4" s="24">
        <f t="shared" ref="BS4:BS19" si="11">SUM(BT4:CM4)</f>
        <v>23349684</v>
      </c>
      <c r="BT4" s="24"/>
      <c r="BU4" s="24"/>
      <c r="BV4" s="24"/>
      <c r="BW4" s="24"/>
      <c r="BX4" s="24">
        <f>+'[1]SEPTIEMBRE 2016'!$H$2606</f>
        <v>23349684</v>
      </c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5">
        <f t="shared" ref="CN4:CN59" si="12">1-BR4</f>
        <v>6.6012639999999956E-2</v>
      </c>
      <c r="CO4" s="24">
        <f t="shared" ref="CO4:CO19" si="13">SUM(CP4:DH4)</f>
        <v>1650316</v>
      </c>
      <c r="CP4" s="24">
        <f t="shared" ref="CP4:CU19" si="14">H4-BU4</f>
        <v>0</v>
      </c>
      <c r="CQ4" s="24">
        <f t="shared" si="14"/>
        <v>0</v>
      </c>
      <c r="CR4" s="24">
        <f t="shared" si="14"/>
        <v>0</v>
      </c>
      <c r="CS4" s="24">
        <f t="shared" si="14"/>
        <v>1650316</v>
      </c>
      <c r="CT4" s="24">
        <f t="shared" si="14"/>
        <v>0</v>
      </c>
      <c r="CU4" s="24">
        <f t="shared" si="14"/>
        <v>0</v>
      </c>
      <c r="CV4" s="24">
        <f t="shared" ref="CV4:CX16" si="15">+N4-CA4</f>
        <v>0</v>
      </c>
      <c r="CW4" s="24">
        <f t="shared" si="15"/>
        <v>0</v>
      </c>
      <c r="CX4" s="24">
        <f t="shared" si="15"/>
        <v>0</v>
      </c>
      <c r="CY4" s="24">
        <f t="shared" ref="CY4:DA19" si="16">Q4-CD4</f>
        <v>0</v>
      </c>
      <c r="CZ4" s="24">
        <f t="shared" si="16"/>
        <v>0</v>
      </c>
      <c r="DA4" s="24">
        <f t="shared" si="16"/>
        <v>0</v>
      </c>
      <c r="DB4" s="24">
        <f t="shared" ref="DB4:DD16" si="17">+T4-CG4</f>
        <v>0</v>
      </c>
      <c r="DC4" s="24">
        <f t="shared" si="17"/>
        <v>0</v>
      </c>
      <c r="DD4" s="24">
        <f t="shared" si="17"/>
        <v>0</v>
      </c>
      <c r="DE4" s="24"/>
      <c r="DF4" s="24">
        <f t="shared" ref="DF4:DH16" si="18">+X4-CK4</f>
        <v>0</v>
      </c>
      <c r="DG4" s="24">
        <f t="shared" si="18"/>
        <v>0</v>
      </c>
      <c r="DH4" s="24">
        <f t="shared" si="18"/>
        <v>0</v>
      </c>
      <c r="DJ4" s="77"/>
      <c r="DK4" s="77"/>
      <c r="DL4" s="77"/>
      <c r="DM4" s="77"/>
      <c r="DN4" s="77"/>
    </row>
    <row r="5" spans="1:118" ht="51.75" hidden="1" customHeight="1" x14ac:dyDescent="0.25">
      <c r="A5" s="30"/>
      <c r="B5" s="227"/>
      <c r="C5" s="20" t="s">
        <v>44</v>
      </c>
      <c r="D5" s="21" t="s">
        <v>45</v>
      </c>
      <c r="E5" s="22">
        <v>510</v>
      </c>
      <c r="F5" s="23" t="s">
        <v>46</v>
      </c>
      <c r="G5" s="24">
        <f t="shared" si="0"/>
        <v>74800000</v>
      </c>
      <c r="H5" s="24"/>
      <c r="I5" s="24">
        <f>18000000-18000000</f>
        <v>0</v>
      </c>
      <c r="J5" s="24"/>
      <c r="K5" s="24">
        <f>36000000+18000000</f>
        <v>54000000</v>
      </c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>
        <f>5000000+1800000-1000000+3000000+12000000</f>
        <v>20800000</v>
      </c>
      <c r="AA5" s="25">
        <f t="shared" si="1"/>
        <v>0.61900487967914442</v>
      </c>
      <c r="AB5" s="24">
        <f t="shared" si="2"/>
        <v>46301565</v>
      </c>
      <c r="AC5" s="24"/>
      <c r="AD5" s="24"/>
      <c r="AE5" s="24"/>
      <c r="AF5" s="24"/>
      <c r="AG5" s="24">
        <f>+'[1]SEPTIEMBRE 2016'!$O$2627</f>
        <v>40500000</v>
      </c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>
        <f>+'[1]SEPTIEMBRE 2016'!$AG$2627</f>
        <v>5801565</v>
      </c>
      <c r="AW5" s="25">
        <f t="shared" si="3"/>
        <v>0.38099512032085558</v>
      </c>
      <c r="AX5" s="24">
        <f t="shared" si="4"/>
        <v>28498435</v>
      </c>
      <c r="AY5" s="24">
        <f t="shared" si="5"/>
        <v>0</v>
      </c>
      <c r="AZ5" s="24">
        <f t="shared" si="6"/>
        <v>0</v>
      </c>
      <c r="BA5" s="24">
        <f t="shared" si="6"/>
        <v>0</v>
      </c>
      <c r="BB5" s="24">
        <f t="shared" si="7"/>
        <v>13500000</v>
      </c>
      <c r="BC5" s="24">
        <f t="shared" si="7"/>
        <v>0</v>
      </c>
      <c r="BD5" s="24">
        <f t="shared" si="7"/>
        <v>0</v>
      </c>
      <c r="BE5" s="24">
        <f t="shared" si="7"/>
        <v>0</v>
      </c>
      <c r="BF5" s="24">
        <f t="shared" si="7"/>
        <v>0</v>
      </c>
      <c r="BG5" s="24">
        <f t="shared" si="7"/>
        <v>0</v>
      </c>
      <c r="BH5" s="24">
        <f t="shared" si="7"/>
        <v>0</v>
      </c>
      <c r="BI5" s="24">
        <f t="shared" si="7"/>
        <v>0</v>
      </c>
      <c r="BJ5" s="24">
        <f t="shared" si="7"/>
        <v>0</v>
      </c>
      <c r="BK5" s="24">
        <f t="shared" si="7"/>
        <v>0</v>
      </c>
      <c r="BL5" s="24">
        <f t="shared" si="7"/>
        <v>0</v>
      </c>
      <c r="BM5" s="24">
        <f t="shared" si="7"/>
        <v>0</v>
      </c>
      <c r="BN5" s="24"/>
      <c r="BO5" s="24"/>
      <c r="BP5" s="24">
        <f t="shared" si="8"/>
        <v>0</v>
      </c>
      <c r="BQ5" s="24">
        <f t="shared" si="9"/>
        <v>14998435</v>
      </c>
      <c r="BR5" s="25">
        <f t="shared" si="10"/>
        <v>0.55882350267379677</v>
      </c>
      <c r="BS5" s="24">
        <f t="shared" si="11"/>
        <v>41799998</v>
      </c>
      <c r="BT5" s="24"/>
      <c r="BU5" s="24"/>
      <c r="BV5" s="24"/>
      <c r="BW5" s="24"/>
      <c r="BX5" s="24">
        <f>+'[1]SEPTIEMBRE 2016'!$H$2628+'[1]SEPTIEMBRE 2016'!$H$2634</f>
        <v>35999998</v>
      </c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>
        <f>+'[1]SEPTIEMBRE 2016'!$H$2625-BX5</f>
        <v>5800000</v>
      </c>
      <c r="CN5" s="25">
        <f t="shared" si="12"/>
        <v>0.44117649732620323</v>
      </c>
      <c r="CO5" s="24">
        <f t="shared" si="13"/>
        <v>33000002</v>
      </c>
      <c r="CP5" s="24">
        <f t="shared" si="14"/>
        <v>0</v>
      </c>
      <c r="CQ5" s="24">
        <f t="shared" si="14"/>
        <v>0</v>
      </c>
      <c r="CR5" s="24">
        <f t="shared" si="14"/>
        <v>0</v>
      </c>
      <c r="CS5" s="24">
        <f t="shared" si="14"/>
        <v>18000002</v>
      </c>
      <c r="CT5" s="24">
        <f t="shared" si="14"/>
        <v>0</v>
      </c>
      <c r="CU5" s="24">
        <f t="shared" si="14"/>
        <v>0</v>
      </c>
      <c r="CV5" s="24">
        <f t="shared" si="15"/>
        <v>0</v>
      </c>
      <c r="CW5" s="24">
        <f t="shared" si="15"/>
        <v>0</v>
      </c>
      <c r="CX5" s="24">
        <f t="shared" si="15"/>
        <v>0</v>
      </c>
      <c r="CY5" s="24">
        <f t="shared" si="16"/>
        <v>0</v>
      </c>
      <c r="CZ5" s="24">
        <f t="shared" si="16"/>
        <v>0</v>
      </c>
      <c r="DA5" s="24">
        <f t="shared" si="16"/>
        <v>0</v>
      </c>
      <c r="DB5" s="24">
        <f t="shared" si="17"/>
        <v>0</v>
      </c>
      <c r="DC5" s="24">
        <f t="shared" si="17"/>
        <v>0</v>
      </c>
      <c r="DD5" s="24">
        <f t="shared" si="17"/>
        <v>0</v>
      </c>
      <c r="DE5" s="24"/>
      <c r="DF5" s="24">
        <f t="shared" si="18"/>
        <v>0</v>
      </c>
      <c r="DG5" s="24">
        <f t="shared" si="18"/>
        <v>0</v>
      </c>
      <c r="DH5" s="24">
        <f t="shared" si="18"/>
        <v>15000000</v>
      </c>
      <c r="DJ5" s="77"/>
      <c r="DK5" s="77"/>
      <c r="DL5" s="77"/>
      <c r="DM5" s="77"/>
      <c r="DN5" s="77"/>
    </row>
    <row r="6" spans="1:118" ht="32.25" hidden="1" customHeight="1" x14ac:dyDescent="0.25">
      <c r="A6" s="30"/>
      <c r="B6" s="215"/>
      <c r="C6" s="20" t="s">
        <v>47</v>
      </c>
      <c r="D6" s="21" t="s">
        <v>48</v>
      </c>
      <c r="E6" s="64">
        <v>510</v>
      </c>
      <c r="F6" s="23" t="s">
        <v>43</v>
      </c>
      <c r="G6" s="24">
        <f t="shared" si="0"/>
        <v>21000000</v>
      </c>
      <c r="H6" s="24"/>
      <c r="I6" s="24">
        <f>11000000-11000000</f>
        <v>0</v>
      </c>
      <c r="J6" s="24"/>
      <c r="K6" s="24">
        <f>10000000+11000000</f>
        <v>21000000</v>
      </c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5">
        <f t="shared" si="1"/>
        <v>0.94521214285714283</v>
      </c>
      <c r="AB6" s="24">
        <f t="shared" si="2"/>
        <v>19849455</v>
      </c>
      <c r="AC6" s="24"/>
      <c r="AD6" s="24"/>
      <c r="AE6" s="24"/>
      <c r="AF6" s="24"/>
      <c r="AG6" s="24">
        <f>+'[1]SEPTIEMBRE 2016'!$O$2648</f>
        <v>19849455</v>
      </c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5">
        <f t="shared" si="3"/>
        <v>5.4787857142857166E-2</v>
      </c>
      <c r="AX6" s="24">
        <f t="shared" si="4"/>
        <v>1150545</v>
      </c>
      <c r="AY6" s="24">
        <f t="shared" si="5"/>
        <v>0</v>
      </c>
      <c r="AZ6" s="24">
        <f t="shared" si="6"/>
        <v>0</v>
      </c>
      <c r="BA6" s="24">
        <f t="shared" si="6"/>
        <v>0</v>
      </c>
      <c r="BB6" s="24">
        <f t="shared" si="7"/>
        <v>1150545</v>
      </c>
      <c r="BC6" s="24">
        <f t="shared" si="7"/>
        <v>0</v>
      </c>
      <c r="BD6" s="24">
        <f t="shared" si="7"/>
        <v>0</v>
      </c>
      <c r="BE6" s="24">
        <f t="shared" si="7"/>
        <v>0</v>
      </c>
      <c r="BF6" s="24">
        <f t="shared" si="7"/>
        <v>0</v>
      </c>
      <c r="BG6" s="24">
        <f t="shared" si="7"/>
        <v>0</v>
      </c>
      <c r="BH6" s="24">
        <f t="shared" si="7"/>
        <v>0</v>
      </c>
      <c r="BI6" s="24">
        <f t="shared" si="7"/>
        <v>0</v>
      </c>
      <c r="BJ6" s="24">
        <f t="shared" si="7"/>
        <v>0</v>
      </c>
      <c r="BK6" s="24">
        <f t="shared" si="7"/>
        <v>0</v>
      </c>
      <c r="BL6" s="24">
        <f t="shared" si="7"/>
        <v>0</v>
      </c>
      <c r="BM6" s="24">
        <f t="shared" si="7"/>
        <v>0</v>
      </c>
      <c r="BN6" s="24"/>
      <c r="BO6" s="24"/>
      <c r="BP6" s="24">
        <f t="shared" si="8"/>
        <v>0</v>
      </c>
      <c r="BQ6" s="24">
        <f t="shared" si="9"/>
        <v>0</v>
      </c>
      <c r="BR6" s="25">
        <f t="shared" si="10"/>
        <v>0.87187880952380947</v>
      </c>
      <c r="BS6" s="24">
        <f t="shared" si="11"/>
        <v>18309455</v>
      </c>
      <c r="BT6" s="24"/>
      <c r="BU6" s="24"/>
      <c r="BV6" s="24"/>
      <c r="BW6" s="24"/>
      <c r="BX6" s="24">
        <f>+'[1]SEPTIEMBRE 2016'!$H$2646</f>
        <v>18309455</v>
      </c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/>
      <c r="CJ6" s="24"/>
      <c r="CK6" s="24"/>
      <c r="CL6" s="24"/>
      <c r="CM6" s="24"/>
      <c r="CN6" s="25">
        <f t="shared" si="12"/>
        <v>0.12812119047619053</v>
      </c>
      <c r="CO6" s="24">
        <f t="shared" si="13"/>
        <v>2690545</v>
      </c>
      <c r="CP6" s="24">
        <f t="shared" si="14"/>
        <v>0</v>
      </c>
      <c r="CQ6" s="24">
        <f t="shared" si="14"/>
        <v>0</v>
      </c>
      <c r="CR6" s="24">
        <f t="shared" si="14"/>
        <v>0</v>
      </c>
      <c r="CS6" s="24">
        <f t="shared" si="14"/>
        <v>2690545</v>
      </c>
      <c r="CT6" s="24">
        <f t="shared" si="14"/>
        <v>0</v>
      </c>
      <c r="CU6" s="24">
        <f t="shared" si="14"/>
        <v>0</v>
      </c>
      <c r="CV6" s="24">
        <f t="shared" si="15"/>
        <v>0</v>
      </c>
      <c r="CW6" s="24">
        <f t="shared" si="15"/>
        <v>0</v>
      </c>
      <c r="CX6" s="24">
        <f t="shared" si="15"/>
        <v>0</v>
      </c>
      <c r="CY6" s="24">
        <f t="shared" si="16"/>
        <v>0</v>
      </c>
      <c r="CZ6" s="24">
        <f t="shared" si="16"/>
        <v>0</v>
      </c>
      <c r="DA6" s="24">
        <f t="shared" si="16"/>
        <v>0</v>
      </c>
      <c r="DB6" s="24">
        <f t="shared" si="17"/>
        <v>0</v>
      </c>
      <c r="DC6" s="24">
        <f t="shared" si="17"/>
        <v>0</v>
      </c>
      <c r="DD6" s="24">
        <f t="shared" si="17"/>
        <v>0</v>
      </c>
      <c r="DE6" s="24"/>
      <c r="DF6" s="24">
        <f t="shared" si="18"/>
        <v>0</v>
      </c>
      <c r="DG6" s="24">
        <f t="shared" si="18"/>
        <v>0</v>
      </c>
      <c r="DH6" s="24">
        <f t="shared" si="18"/>
        <v>0</v>
      </c>
      <c r="DJ6" s="77"/>
      <c r="DK6" s="77"/>
      <c r="DL6" s="77"/>
      <c r="DM6" s="77"/>
      <c r="DN6" s="77"/>
    </row>
    <row r="7" spans="1:118" ht="54" hidden="1" customHeight="1" x14ac:dyDescent="0.25">
      <c r="A7" s="30"/>
      <c r="B7" s="32" t="s">
        <v>49</v>
      </c>
      <c r="C7" s="20" t="s">
        <v>50</v>
      </c>
      <c r="D7" s="21" t="s">
        <v>51</v>
      </c>
      <c r="E7" s="22">
        <v>510</v>
      </c>
      <c r="F7" s="23" t="s">
        <v>52</v>
      </c>
      <c r="G7" s="24">
        <f t="shared" si="0"/>
        <v>21876315</v>
      </c>
      <c r="H7" s="24"/>
      <c r="I7" s="24">
        <f>21000000-21000000</f>
        <v>0</v>
      </c>
      <c r="J7" s="24"/>
      <c r="K7" s="24">
        <f>21000000-21000000</f>
        <v>0</v>
      </c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>
        <f>12576315+12300000-3000000</f>
        <v>21876315</v>
      </c>
      <c r="AA7" s="25">
        <f t="shared" si="1"/>
        <v>0.63430769761726324</v>
      </c>
      <c r="AB7" s="24">
        <f t="shared" si="2"/>
        <v>13876315</v>
      </c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>
        <f>+'[1]SEPTIEMBRE 2016'!$AG$2660</f>
        <v>13876315</v>
      </c>
      <c r="AW7" s="25">
        <f t="shared" si="3"/>
        <v>0.36569230238273676</v>
      </c>
      <c r="AX7" s="24">
        <f t="shared" si="4"/>
        <v>8000000</v>
      </c>
      <c r="AY7" s="24">
        <f t="shared" si="5"/>
        <v>0</v>
      </c>
      <c r="AZ7" s="24">
        <f t="shared" si="6"/>
        <v>0</v>
      </c>
      <c r="BA7" s="24">
        <f t="shared" si="6"/>
        <v>0</v>
      </c>
      <c r="BB7" s="24">
        <f t="shared" si="7"/>
        <v>0</v>
      </c>
      <c r="BC7" s="24">
        <f t="shared" si="7"/>
        <v>0</v>
      </c>
      <c r="BD7" s="24">
        <f t="shared" si="7"/>
        <v>0</v>
      </c>
      <c r="BE7" s="24">
        <f t="shared" si="7"/>
        <v>0</v>
      </c>
      <c r="BF7" s="24">
        <f t="shared" si="7"/>
        <v>0</v>
      </c>
      <c r="BG7" s="24">
        <f t="shared" si="7"/>
        <v>0</v>
      </c>
      <c r="BH7" s="24">
        <f t="shared" si="7"/>
        <v>0</v>
      </c>
      <c r="BI7" s="24">
        <f t="shared" si="7"/>
        <v>0</v>
      </c>
      <c r="BJ7" s="24">
        <f t="shared" si="7"/>
        <v>0</v>
      </c>
      <c r="BK7" s="24">
        <f t="shared" si="7"/>
        <v>0</v>
      </c>
      <c r="BL7" s="24">
        <f t="shared" si="7"/>
        <v>0</v>
      </c>
      <c r="BM7" s="24">
        <f t="shared" si="7"/>
        <v>0</v>
      </c>
      <c r="BN7" s="24"/>
      <c r="BO7" s="24"/>
      <c r="BP7" s="24">
        <f t="shared" si="8"/>
        <v>0</v>
      </c>
      <c r="BQ7" s="24">
        <f t="shared" si="9"/>
        <v>8000000</v>
      </c>
      <c r="BR7" s="25">
        <f t="shared" si="10"/>
        <v>0.58460339412739304</v>
      </c>
      <c r="BS7" s="24">
        <f t="shared" si="11"/>
        <v>12788968</v>
      </c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>
        <f>+'[1]SEPTIEMBRE 2016'!$H$2658</f>
        <v>12788968</v>
      </c>
      <c r="CN7" s="25">
        <f t="shared" si="12"/>
        <v>0.41539660587260696</v>
      </c>
      <c r="CO7" s="24">
        <f t="shared" si="13"/>
        <v>9087347</v>
      </c>
      <c r="CP7" s="24">
        <f t="shared" si="14"/>
        <v>0</v>
      </c>
      <c r="CQ7" s="24">
        <f t="shared" si="14"/>
        <v>0</v>
      </c>
      <c r="CR7" s="24">
        <f t="shared" si="14"/>
        <v>0</v>
      </c>
      <c r="CS7" s="24">
        <f t="shared" si="14"/>
        <v>0</v>
      </c>
      <c r="CT7" s="24">
        <f t="shared" si="14"/>
        <v>0</v>
      </c>
      <c r="CU7" s="24">
        <f t="shared" si="14"/>
        <v>0</v>
      </c>
      <c r="CV7" s="24">
        <f t="shared" si="15"/>
        <v>0</v>
      </c>
      <c r="CW7" s="24">
        <f t="shared" si="15"/>
        <v>0</v>
      </c>
      <c r="CX7" s="24">
        <f t="shared" si="15"/>
        <v>0</v>
      </c>
      <c r="CY7" s="24">
        <f t="shared" si="16"/>
        <v>0</v>
      </c>
      <c r="CZ7" s="24">
        <f t="shared" si="16"/>
        <v>0</v>
      </c>
      <c r="DA7" s="24">
        <f t="shared" si="16"/>
        <v>0</v>
      </c>
      <c r="DB7" s="24">
        <f t="shared" si="17"/>
        <v>0</v>
      </c>
      <c r="DC7" s="24">
        <f t="shared" si="17"/>
        <v>0</v>
      </c>
      <c r="DD7" s="24">
        <f t="shared" si="17"/>
        <v>0</v>
      </c>
      <c r="DE7" s="24"/>
      <c r="DF7" s="24">
        <f t="shared" si="18"/>
        <v>0</v>
      </c>
      <c r="DG7" s="24">
        <f t="shared" si="18"/>
        <v>0</v>
      </c>
      <c r="DH7" s="24">
        <f t="shared" si="18"/>
        <v>9087347</v>
      </c>
      <c r="DJ7" s="77"/>
      <c r="DK7" s="77"/>
      <c r="DL7" s="77"/>
      <c r="DM7" s="77"/>
      <c r="DN7" s="77"/>
    </row>
    <row r="8" spans="1:118" ht="45" hidden="1" x14ac:dyDescent="0.25">
      <c r="A8" s="30"/>
      <c r="B8" s="214" t="s">
        <v>53</v>
      </c>
      <c r="C8" s="20" t="s">
        <v>54</v>
      </c>
      <c r="D8" s="21" t="s">
        <v>55</v>
      </c>
      <c r="E8" s="22">
        <v>310</v>
      </c>
      <c r="F8" s="23" t="s">
        <v>43</v>
      </c>
      <c r="G8" s="24">
        <f t="shared" si="0"/>
        <v>200000000</v>
      </c>
      <c r="H8" s="24"/>
      <c r="I8" s="24">
        <f>200000000-193378600</f>
        <v>6621400</v>
      </c>
      <c r="J8" s="24"/>
      <c r="K8" s="24">
        <f>193378600</f>
        <v>193378600</v>
      </c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5">
        <f t="shared" si="1"/>
        <v>0.99987499999999996</v>
      </c>
      <c r="AB8" s="24">
        <f t="shared" si="2"/>
        <v>199975000</v>
      </c>
      <c r="AC8" s="24"/>
      <c r="AD8" s="24"/>
      <c r="AE8" s="24">
        <f>+'[2]ENERO 2016'!$M$109</f>
        <v>6621400</v>
      </c>
      <c r="AF8" s="24"/>
      <c r="AG8" s="24">
        <f>+'[3]FEBRERO 2016'!$O$125</f>
        <v>193353600</v>
      </c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5">
        <f t="shared" si="3"/>
        <v>1.2500000000004174E-4</v>
      </c>
      <c r="AX8" s="24">
        <f t="shared" si="4"/>
        <v>25000</v>
      </c>
      <c r="AY8" s="24">
        <f t="shared" si="5"/>
        <v>0</v>
      </c>
      <c r="AZ8" s="24">
        <f t="shared" si="6"/>
        <v>0</v>
      </c>
      <c r="BA8" s="24">
        <f t="shared" si="6"/>
        <v>0</v>
      </c>
      <c r="BB8" s="24">
        <f t="shared" si="7"/>
        <v>25000</v>
      </c>
      <c r="BC8" s="24">
        <f t="shared" si="7"/>
        <v>0</v>
      </c>
      <c r="BD8" s="24">
        <f t="shared" si="7"/>
        <v>0</v>
      </c>
      <c r="BE8" s="24">
        <f t="shared" si="7"/>
        <v>0</v>
      </c>
      <c r="BF8" s="24">
        <f t="shared" si="7"/>
        <v>0</v>
      </c>
      <c r="BG8" s="24">
        <f t="shared" si="7"/>
        <v>0</v>
      </c>
      <c r="BH8" s="24">
        <f t="shared" si="7"/>
        <v>0</v>
      </c>
      <c r="BI8" s="24">
        <f t="shared" si="7"/>
        <v>0</v>
      </c>
      <c r="BJ8" s="24">
        <f t="shared" si="7"/>
        <v>0</v>
      </c>
      <c r="BK8" s="24">
        <f t="shared" si="7"/>
        <v>0</v>
      </c>
      <c r="BL8" s="24">
        <f t="shared" si="7"/>
        <v>0</v>
      </c>
      <c r="BM8" s="24">
        <f t="shared" si="7"/>
        <v>0</v>
      </c>
      <c r="BN8" s="24"/>
      <c r="BO8" s="24"/>
      <c r="BP8" s="24">
        <f t="shared" si="8"/>
        <v>0</v>
      </c>
      <c r="BQ8" s="24">
        <f t="shared" si="9"/>
        <v>0</v>
      </c>
      <c r="BR8" s="25">
        <f t="shared" si="10"/>
        <v>0.58338447000000004</v>
      </c>
      <c r="BS8" s="24">
        <f t="shared" si="11"/>
        <v>116676894</v>
      </c>
      <c r="BT8" s="24"/>
      <c r="BU8" s="24"/>
      <c r="BV8" s="24">
        <f>+'[2]ENERO 2016'!$H$107</f>
        <v>6621400</v>
      </c>
      <c r="BW8" s="24"/>
      <c r="BX8" s="24">
        <f>+'[1]SEPTIEMBRE 2016'!$H$364-'[1]SEPTIEMBRE 2016'!$M$364</f>
        <v>110055494</v>
      </c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5">
        <f t="shared" si="12"/>
        <v>0.41661552999999996</v>
      </c>
      <c r="CO8" s="24">
        <f t="shared" si="13"/>
        <v>83323106</v>
      </c>
      <c r="CP8" s="24">
        <f t="shared" si="14"/>
        <v>0</v>
      </c>
      <c r="CQ8" s="24">
        <f t="shared" si="14"/>
        <v>0</v>
      </c>
      <c r="CR8" s="24">
        <f t="shared" si="14"/>
        <v>0</v>
      </c>
      <c r="CS8" s="24">
        <f t="shared" si="14"/>
        <v>83323106</v>
      </c>
      <c r="CT8" s="24">
        <f t="shared" si="14"/>
        <v>0</v>
      </c>
      <c r="CU8" s="24">
        <f t="shared" si="14"/>
        <v>0</v>
      </c>
      <c r="CV8" s="24">
        <f t="shared" si="15"/>
        <v>0</v>
      </c>
      <c r="CW8" s="24">
        <f t="shared" si="15"/>
        <v>0</v>
      </c>
      <c r="CX8" s="24">
        <f t="shared" si="15"/>
        <v>0</v>
      </c>
      <c r="CY8" s="24">
        <f t="shared" si="16"/>
        <v>0</v>
      </c>
      <c r="CZ8" s="24">
        <f t="shared" si="16"/>
        <v>0</v>
      </c>
      <c r="DA8" s="24">
        <f t="shared" si="16"/>
        <v>0</v>
      </c>
      <c r="DB8" s="24">
        <f t="shared" si="17"/>
        <v>0</v>
      </c>
      <c r="DC8" s="24">
        <f t="shared" si="17"/>
        <v>0</v>
      </c>
      <c r="DD8" s="24">
        <f t="shared" si="17"/>
        <v>0</v>
      </c>
      <c r="DE8" s="24"/>
      <c r="DF8" s="24">
        <f t="shared" si="18"/>
        <v>0</v>
      </c>
      <c r="DG8" s="24">
        <f t="shared" si="18"/>
        <v>0</v>
      </c>
      <c r="DH8" s="24">
        <f t="shared" si="18"/>
        <v>0</v>
      </c>
      <c r="DJ8" s="77"/>
      <c r="DK8" s="77"/>
      <c r="DL8" s="77"/>
      <c r="DM8" s="77"/>
      <c r="DN8" s="77"/>
    </row>
    <row r="9" spans="1:118" ht="69" hidden="1" customHeight="1" x14ac:dyDescent="0.25">
      <c r="A9" s="30"/>
      <c r="B9" s="227"/>
      <c r="C9" s="20" t="s">
        <v>56</v>
      </c>
      <c r="D9" s="21" t="s">
        <v>57</v>
      </c>
      <c r="E9" s="22">
        <v>310</v>
      </c>
      <c r="F9" s="23" t="s">
        <v>58</v>
      </c>
      <c r="G9" s="24">
        <f t="shared" si="0"/>
        <v>539200000</v>
      </c>
      <c r="H9" s="24"/>
      <c r="I9" s="24">
        <f>150000000+21000000+193378600+29000000</f>
        <v>393378600</v>
      </c>
      <c r="J9" s="24"/>
      <c r="K9" s="24">
        <f>370000000-21000000-193378600-30800000-29000000</f>
        <v>95821400</v>
      </c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>
        <f>30000000+12000000+1000000+7000000</f>
        <v>50000000</v>
      </c>
      <c r="AA9" s="25">
        <f t="shared" si="1"/>
        <v>0.44301970882789315</v>
      </c>
      <c r="AB9" s="24">
        <f t="shared" si="2"/>
        <v>238876227</v>
      </c>
      <c r="AC9" s="24"/>
      <c r="AD9" s="24"/>
      <c r="AE9" s="24">
        <f>+'[1]SEPTIEMBRE 2016'!$M$391</f>
        <v>110550306</v>
      </c>
      <c r="AF9" s="24"/>
      <c r="AG9" s="24">
        <f>+'[4]AGOSTO 2016'!$O$339</f>
        <v>95047311</v>
      </c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>
        <f>+'[1]SEPTIEMBRE 2016'!$AG$391</f>
        <v>33278610</v>
      </c>
      <c r="AW9" s="25">
        <f t="shared" si="3"/>
        <v>0.5569802911721069</v>
      </c>
      <c r="AX9" s="24">
        <f t="shared" si="4"/>
        <v>300323773</v>
      </c>
      <c r="AY9" s="24">
        <f t="shared" si="5"/>
        <v>0</v>
      </c>
      <c r="AZ9" s="24">
        <f t="shared" si="6"/>
        <v>282828294</v>
      </c>
      <c r="BA9" s="24">
        <f t="shared" si="6"/>
        <v>0</v>
      </c>
      <c r="BB9" s="24">
        <f t="shared" si="7"/>
        <v>774089</v>
      </c>
      <c r="BC9" s="24">
        <f t="shared" si="7"/>
        <v>0</v>
      </c>
      <c r="BD9" s="24">
        <f t="shared" si="7"/>
        <v>0</v>
      </c>
      <c r="BE9" s="24">
        <f t="shared" si="7"/>
        <v>0</v>
      </c>
      <c r="BF9" s="24">
        <f t="shared" si="7"/>
        <v>0</v>
      </c>
      <c r="BG9" s="24">
        <f t="shared" si="7"/>
        <v>0</v>
      </c>
      <c r="BH9" s="24">
        <f t="shared" si="7"/>
        <v>0</v>
      </c>
      <c r="BI9" s="24">
        <f t="shared" si="7"/>
        <v>0</v>
      </c>
      <c r="BJ9" s="24">
        <f t="shared" si="7"/>
        <v>0</v>
      </c>
      <c r="BK9" s="24">
        <f t="shared" si="7"/>
        <v>0</v>
      </c>
      <c r="BL9" s="24">
        <f t="shared" si="7"/>
        <v>0</v>
      </c>
      <c r="BM9" s="24">
        <f t="shared" si="7"/>
        <v>0</v>
      </c>
      <c r="BN9" s="24"/>
      <c r="BO9" s="24"/>
      <c r="BP9" s="24">
        <f t="shared" si="8"/>
        <v>0</v>
      </c>
      <c r="BQ9" s="24">
        <f t="shared" si="9"/>
        <v>16721390</v>
      </c>
      <c r="BR9" s="25">
        <f t="shared" si="10"/>
        <v>0.44084417099406525</v>
      </c>
      <c r="BS9" s="24">
        <f t="shared" si="11"/>
        <v>237703177</v>
      </c>
      <c r="BT9" s="24"/>
      <c r="BU9" s="24"/>
      <c r="BV9" s="24">
        <f>+'[1]SEPTIEMBRE 2016'!$H$389-BX9-CM9</f>
        <v>109870420</v>
      </c>
      <c r="BW9" s="24"/>
      <c r="BX9" s="24">
        <v>95047311</v>
      </c>
      <c r="BY9" s="24"/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>
        <f>+'[1]SEPTIEMBRE 2016'!$H$460+'[1]SEPTIEMBRE 2016'!$G$486+'[1]SEPTIEMBRE 2016'!$G$490+'[1]SEPTIEMBRE 2016'!$H$493+'[1]SEPTIEMBRE 2016'!$H$501+'[1]SEPTIEMBRE 2016'!$H$509+'[1]SEPTIEMBRE 2016'!$H$511+'[1]SEPTIEMBRE 2016'!$H$518+'[1]SEPTIEMBRE 2016'!$H$519+'[1]SEPTIEMBRE 2016'!$H$524+'[1]SEPTIEMBRE 2016'!$H$542+'[1]SEPTIEMBRE 2016'!$H$544+'[1]SEPTIEMBRE 2016'!$H$545+'[1]SEPTIEMBRE 2016'!$H$558+'[1]SEPTIEMBRE 2016'!$H$573+'[1]SEPTIEMBRE 2016'!$G$582+'[1]SEPTIEMBRE 2016'!$G$584+'[1]SEPTIEMBRE 2016'!$G$590+'[1]SEPTIEMBRE 2016'!$G$591+'[1]SEPTIEMBRE 2016'!$H$599+'[1]SEPTIEMBRE 2016'!$H$600+'[1]SEPTIEMBRE 2016'!$H$603+'[1]SEPTIEMBRE 2016'!$G$616+'[1]SEPTIEMBRE 2016'!$G$618+'[1]SEPTIEMBRE 2016'!$G$619+'[1]SEPTIEMBRE 2016'!$G$622+'[1]SEPTIEMBRE 2016'!$H$629</f>
        <v>32785446</v>
      </c>
      <c r="CN9" s="25">
        <f t="shared" si="12"/>
        <v>0.55915582900593475</v>
      </c>
      <c r="CO9" s="24">
        <f t="shared" si="13"/>
        <v>301496823</v>
      </c>
      <c r="CP9" s="24">
        <f t="shared" si="14"/>
        <v>0</v>
      </c>
      <c r="CQ9" s="24">
        <f t="shared" si="14"/>
        <v>283508180</v>
      </c>
      <c r="CR9" s="24">
        <f t="shared" si="14"/>
        <v>0</v>
      </c>
      <c r="CS9" s="24">
        <f t="shared" si="14"/>
        <v>774089</v>
      </c>
      <c r="CT9" s="24">
        <f t="shared" si="14"/>
        <v>0</v>
      </c>
      <c r="CU9" s="24">
        <f t="shared" si="14"/>
        <v>0</v>
      </c>
      <c r="CV9" s="24">
        <f t="shared" si="15"/>
        <v>0</v>
      </c>
      <c r="CW9" s="24">
        <f t="shared" si="15"/>
        <v>0</v>
      </c>
      <c r="CX9" s="24">
        <f t="shared" si="15"/>
        <v>0</v>
      </c>
      <c r="CY9" s="24">
        <f t="shared" si="16"/>
        <v>0</v>
      </c>
      <c r="CZ9" s="24">
        <f t="shared" si="16"/>
        <v>0</v>
      </c>
      <c r="DA9" s="24">
        <f t="shared" si="16"/>
        <v>0</v>
      </c>
      <c r="DB9" s="24">
        <f t="shared" si="17"/>
        <v>0</v>
      </c>
      <c r="DC9" s="24">
        <f t="shared" si="17"/>
        <v>0</v>
      </c>
      <c r="DD9" s="24">
        <f t="shared" si="17"/>
        <v>0</v>
      </c>
      <c r="DE9" s="24"/>
      <c r="DF9" s="24">
        <f t="shared" si="18"/>
        <v>0</v>
      </c>
      <c r="DG9" s="24">
        <f t="shared" si="18"/>
        <v>0</v>
      </c>
      <c r="DH9" s="24">
        <f t="shared" si="18"/>
        <v>17214554</v>
      </c>
      <c r="DJ9" s="77"/>
      <c r="DK9" s="77"/>
      <c r="DL9" s="77"/>
      <c r="DM9" s="77"/>
      <c r="DN9" s="77"/>
    </row>
    <row r="10" spans="1:118" ht="19.5" hidden="1" customHeight="1" x14ac:dyDescent="0.25">
      <c r="A10" s="30"/>
      <c r="B10" s="227"/>
      <c r="C10" s="20" t="s">
        <v>59</v>
      </c>
      <c r="D10" s="21" t="s">
        <v>60</v>
      </c>
      <c r="E10" s="22">
        <v>310</v>
      </c>
      <c r="F10" s="23" t="s">
        <v>43</v>
      </c>
      <c r="G10" s="24">
        <f t="shared" si="0"/>
        <v>36000000</v>
      </c>
      <c r="H10" s="24"/>
      <c r="I10" s="24"/>
      <c r="J10" s="24"/>
      <c r="K10" s="24">
        <f>15000000+21000000</f>
        <v>36000000</v>
      </c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5">
        <f t="shared" si="1"/>
        <v>0.41666666666666669</v>
      </c>
      <c r="AB10" s="24">
        <f t="shared" si="2"/>
        <v>15000000</v>
      </c>
      <c r="AC10" s="24"/>
      <c r="AD10" s="24"/>
      <c r="AE10" s="24"/>
      <c r="AF10" s="24"/>
      <c r="AG10" s="24">
        <f>+'[5]JULIO 2016'!$G$449</f>
        <v>15000000</v>
      </c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5">
        <f t="shared" si="3"/>
        <v>0.58333333333333326</v>
      </c>
      <c r="AX10" s="24">
        <f t="shared" si="4"/>
        <v>21000000</v>
      </c>
      <c r="AY10" s="24">
        <f t="shared" ref="AY10:AY16" si="19">H10-AD10</f>
        <v>0</v>
      </c>
      <c r="AZ10" s="24">
        <f t="shared" si="6"/>
        <v>0</v>
      </c>
      <c r="BA10" s="24">
        <f t="shared" si="6"/>
        <v>0</v>
      </c>
      <c r="BB10" s="24">
        <f t="shared" si="7"/>
        <v>21000000</v>
      </c>
      <c r="BC10" s="24">
        <f t="shared" si="7"/>
        <v>0</v>
      </c>
      <c r="BD10" s="24">
        <f t="shared" si="7"/>
        <v>0</v>
      </c>
      <c r="BE10" s="24">
        <f t="shared" si="7"/>
        <v>0</v>
      </c>
      <c r="BF10" s="24">
        <f t="shared" si="7"/>
        <v>0</v>
      </c>
      <c r="BG10" s="24">
        <f t="shared" si="7"/>
        <v>0</v>
      </c>
      <c r="BH10" s="24">
        <f t="shared" si="7"/>
        <v>0</v>
      </c>
      <c r="BI10" s="24">
        <f t="shared" si="7"/>
        <v>0</v>
      </c>
      <c r="BJ10" s="24">
        <f t="shared" si="7"/>
        <v>0</v>
      </c>
      <c r="BK10" s="24">
        <f t="shared" si="7"/>
        <v>0</v>
      </c>
      <c r="BL10" s="24">
        <f t="shared" si="7"/>
        <v>0</v>
      </c>
      <c r="BM10" s="24">
        <f t="shared" si="7"/>
        <v>0</v>
      </c>
      <c r="BN10" s="24"/>
      <c r="BO10" s="24"/>
      <c r="BP10" s="24">
        <f t="shared" si="8"/>
        <v>0</v>
      </c>
      <c r="BQ10" s="24">
        <f t="shared" si="9"/>
        <v>0</v>
      </c>
      <c r="BR10" s="25">
        <f t="shared" si="10"/>
        <v>0.3553527777777778</v>
      </c>
      <c r="BS10" s="24">
        <f t="shared" si="11"/>
        <v>12792700</v>
      </c>
      <c r="BT10" s="24"/>
      <c r="BU10" s="24"/>
      <c r="BV10" s="24"/>
      <c r="BW10" s="24"/>
      <c r="BX10" s="24">
        <f>+'[4]AGOSTO 2016'!$H$531</f>
        <v>12792700</v>
      </c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5">
        <f t="shared" si="12"/>
        <v>0.64464722222222215</v>
      </c>
      <c r="CO10" s="24">
        <f t="shared" si="13"/>
        <v>23207300</v>
      </c>
      <c r="CP10" s="24">
        <f t="shared" si="14"/>
        <v>0</v>
      </c>
      <c r="CQ10" s="24">
        <f t="shared" si="14"/>
        <v>0</v>
      </c>
      <c r="CR10" s="24">
        <f t="shared" si="14"/>
        <v>0</v>
      </c>
      <c r="CS10" s="24">
        <f t="shared" si="14"/>
        <v>23207300</v>
      </c>
      <c r="CT10" s="24">
        <f t="shared" si="14"/>
        <v>0</v>
      </c>
      <c r="CU10" s="24">
        <f t="shared" si="14"/>
        <v>0</v>
      </c>
      <c r="CV10" s="24">
        <f t="shared" si="15"/>
        <v>0</v>
      </c>
      <c r="CW10" s="24">
        <f t="shared" si="15"/>
        <v>0</v>
      </c>
      <c r="CX10" s="24">
        <f t="shared" si="15"/>
        <v>0</v>
      </c>
      <c r="CY10" s="24">
        <f t="shared" si="16"/>
        <v>0</v>
      </c>
      <c r="CZ10" s="24">
        <f t="shared" si="16"/>
        <v>0</v>
      </c>
      <c r="DA10" s="24">
        <f t="shared" si="16"/>
        <v>0</v>
      </c>
      <c r="DB10" s="24">
        <f t="shared" si="17"/>
        <v>0</v>
      </c>
      <c r="DC10" s="24">
        <f t="shared" si="17"/>
        <v>0</v>
      </c>
      <c r="DD10" s="24">
        <f t="shared" si="17"/>
        <v>0</v>
      </c>
      <c r="DE10" s="24"/>
      <c r="DF10" s="24">
        <f t="shared" si="18"/>
        <v>0</v>
      </c>
      <c r="DG10" s="24">
        <f t="shared" si="18"/>
        <v>0</v>
      </c>
      <c r="DH10" s="24">
        <f t="shared" si="18"/>
        <v>0</v>
      </c>
      <c r="DJ10" s="77"/>
      <c r="DK10" s="77"/>
      <c r="DL10" s="77"/>
      <c r="DM10" s="77"/>
      <c r="DN10" s="77"/>
    </row>
    <row r="11" spans="1:118" ht="45" hidden="1" x14ac:dyDescent="0.25">
      <c r="A11" s="30"/>
      <c r="B11" s="227"/>
      <c r="C11" s="20" t="s">
        <v>61</v>
      </c>
      <c r="D11" s="21" t="s">
        <v>62</v>
      </c>
      <c r="E11" s="22">
        <v>310</v>
      </c>
      <c r="F11" s="23" t="s">
        <v>43</v>
      </c>
      <c r="G11" s="24">
        <f t="shared" si="0"/>
        <v>50000000</v>
      </c>
      <c r="H11" s="33"/>
      <c r="I11" s="24">
        <v>50000000</v>
      </c>
      <c r="J11" s="33"/>
      <c r="K11" s="33"/>
      <c r="L11" s="24"/>
      <c r="M11" s="33"/>
      <c r="N11" s="28"/>
      <c r="O11" s="28"/>
      <c r="P11" s="28"/>
      <c r="Q11" s="28"/>
      <c r="R11" s="28"/>
      <c r="S11" s="28"/>
      <c r="T11" s="24"/>
      <c r="U11" s="28"/>
      <c r="V11" s="28"/>
      <c r="W11" s="28"/>
      <c r="X11" s="28"/>
      <c r="Y11" s="28"/>
      <c r="Z11" s="33"/>
      <c r="AA11" s="25">
        <f t="shared" si="1"/>
        <v>0.71524679999999996</v>
      </c>
      <c r="AB11" s="24">
        <f t="shared" si="2"/>
        <v>35762340</v>
      </c>
      <c r="AC11" s="24"/>
      <c r="AD11" s="24"/>
      <c r="AE11" s="24">
        <f>+'[1]SEPTIEMBRE 2016'!$M$658</f>
        <v>35762340</v>
      </c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5">
        <f t="shared" si="3"/>
        <v>0.28475320000000004</v>
      </c>
      <c r="AX11" s="24">
        <f t="shared" si="4"/>
        <v>14237660</v>
      </c>
      <c r="AY11" s="24">
        <f t="shared" si="19"/>
        <v>0</v>
      </c>
      <c r="AZ11" s="24">
        <f t="shared" si="6"/>
        <v>14237660</v>
      </c>
      <c r="BA11" s="24">
        <f t="shared" si="6"/>
        <v>0</v>
      </c>
      <c r="BB11" s="24">
        <f t="shared" si="7"/>
        <v>0</v>
      </c>
      <c r="BC11" s="24">
        <f t="shared" si="7"/>
        <v>0</v>
      </c>
      <c r="BD11" s="24">
        <f t="shared" si="7"/>
        <v>0</v>
      </c>
      <c r="BE11" s="24">
        <f t="shared" si="7"/>
        <v>0</v>
      </c>
      <c r="BF11" s="24">
        <f t="shared" si="7"/>
        <v>0</v>
      </c>
      <c r="BG11" s="24">
        <f t="shared" si="7"/>
        <v>0</v>
      </c>
      <c r="BH11" s="24">
        <f t="shared" si="7"/>
        <v>0</v>
      </c>
      <c r="BI11" s="24">
        <f t="shared" si="7"/>
        <v>0</v>
      </c>
      <c r="BJ11" s="24">
        <f t="shared" si="7"/>
        <v>0</v>
      </c>
      <c r="BK11" s="24">
        <f t="shared" si="7"/>
        <v>0</v>
      </c>
      <c r="BL11" s="24">
        <f t="shared" si="7"/>
        <v>0</v>
      </c>
      <c r="BM11" s="24">
        <f t="shared" si="7"/>
        <v>0</v>
      </c>
      <c r="BN11" s="24"/>
      <c r="BO11" s="24"/>
      <c r="BP11" s="24">
        <f t="shared" si="8"/>
        <v>0</v>
      </c>
      <c r="BQ11" s="24">
        <f t="shared" si="9"/>
        <v>0</v>
      </c>
      <c r="BR11" s="25">
        <f t="shared" si="10"/>
        <v>0.15524679999999999</v>
      </c>
      <c r="BS11" s="24">
        <f t="shared" si="11"/>
        <v>7762340</v>
      </c>
      <c r="BT11" s="24"/>
      <c r="BU11" s="24"/>
      <c r="BV11" s="24">
        <f>+'[1]SEPTIEMBRE 2016'!$H$656</f>
        <v>7762340</v>
      </c>
      <c r="BW11" s="24"/>
      <c r="BX11" s="24"/>
      <c r="BY11" s="24"/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5">
        <f t="shared" si="12"/>
        <v>0.84475319999999998</v>
      </c>
      <c r="CO11" s="24">
        <f t="shared" si="13"/>
        <v>42237660</v>
      </c>
      <c r="CP11" s="24">
        <f t="shared" si="14"/>
        <v>0</v>
      </c>
      <c r="CQ11" s="24">
        <f t="shared" si="14"/>
        <v>42237660</v>
      </c>
      <c r="CR11" s="24">
        <f t="shared" si="14"/>
        <v>0</v>
      </c>
      <c r="CS11" s="24">
        <f t="shared" si="14"/>
        <v>0</v>
      </c>
      <c r="CT11" s="24">
        <f t="shared" si="14"/>
        <v>0</v>
      </c>
      <c r="CU11" s="24">
        <f t="shared" si="14"/>
        <v>0</v>
      </c>
      <c r="CV11" s="24">
        <f t="shared" si="15"/>
        <v>0</v>
      </c>
      <c r="CW11" s="24">
        <f t="shared" si="15"/>
        <v>0</v>
      </c>
      <c r="CX11" s="24">
        <f t="shared" si="15"/>
        <v>0</v>
      </c>
      <c r="CY11" s="24">
        <f t="shared" si="16"/>
        <v>0</v>
      </c>
      <c r="CZ11" s="24">
        <f t="shared" si="16"/>
        <v>0</v>
      </c>
      <c r="DA11" s="24">
        <f t="shared" si="16"/>
        <v>0</v>
      </c>
      <c r="DB11" s="24">
        <f t="shared" si="17"/>
        <v>0</v>
      </c>
      <c r="DC11" s="24">
        <f t="shared" si="17"/>
        <v>0</v>
      </c>
      <c r="DD11" s="24">
        <f t="shared" si="17"/>
        <v>0</v>
      </c>
      <c r="DE11" s="24"/>
      <c r="DF11" s="24">
        <f t="shared" si="18"/>
        <v>0</v>
      </c>
      <c r="DG11" s="24">
        <f t="shared" si="18"/>
        <v>0</v>
      </c>
      <c r="DH11" s="24">
        <f t="shared" si="18"/>
        <v>0</v>
      </c>
      <c r="DJ11" s="77"/>
      <c r="DK11" s="77"/>
      <c r="DL11" s="77"/>
      <c r="DM11" s="77"/>
      <c r="DN11" s="77"/>
    </row>
    <row r="12" spans="1:118" ht="21" hidden="1" customHeight="1" x14ac:dyDescent="0.25">
      <c r="A12" s="30"/>
      <c r="B12" s="215"/>
      <c r="C12" s="20" t="s">
        <v>63</v>
      </c>
      <c r="D12" s="21" t="s">
        <v>64</v>
      </c>
      <c r="E12" s="22">
        <v>310</v>
      </c>
      <c r="F12" s="23" t="s">
        <v>43</v>
      </c>
      <c r="G12" s="24">
        <f t="shared" si="0"/>
        <v>10000000</v>
      </c>
      <c r="H12" s="33"/>
      <c r="I12" s="24"/>
      <c r="J12" s="33"/>
      <c r="K12" s="24">
        <v>10000000</v>
      </c>
      <c r="L12" s="24"/>
      <c r="M12" s="33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33"/>
      <c r="AA12" s="25">
        <f t="shared" si="1"/>
        <v>1</v>
      </c>
      <c r="AB12" s="24">
        <f t="shared" si="2"/>
        <v>10000000</v>
      </c>
      <c r="AC12" s="24"/>
      <c r="AD12" s="24"/>
      <c r="AE12" s="24"/>
      <c r="AF12" s="24"/>
      <c r="AG12" s="24">
        <f>+'[6]JUNIO 2016'!$O$399</f>
        <v>10000000</v>
      </c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5">
        <f t="shared" si="3"/>
        <v>0</v>
      </c>
      <c r="AX12" s="24">
        <f t="shared" si="4"/>
        <v>0</v>
      </c>
      <c r="AY12" s="24">
        <f t="shared" si="19"/>
        <v>0</v>
      </c>
      <c r="AZ12" s="24">
        <f t="shared" si="6"/>
        <v>0</v>
      </c>
      <c r="BA12" s="24">
        <f t="shared" si="6"/>
        <v>0</v>
      </c>
      <c r="BB12" s="24">
        <f t="shared" si="7"/>
        <v>0</v>
      </c>
      <c r="BC12" s="24">
        <f t="shared" si="7"/>
        <v>0</v>
      </c>
      <c r="BD12" s="24">
        <f t="shared" si="7"/>
        <v>0</v>
      </c>
      <c r="BE12" s="24">
        <f t="shared" si="7"/>
        <v>0</v>
      </c>
      <c r="BF12" s="24">
        <f t="shared" si="7"/>
        <v>0</v>
      </c>
      <c r="BG12" s="24">
        <f t="shared" si="7"/>
        <v>0</v>
      </c>
      <c r="BH12" s="24">
        <f t="shared" si="7"/>
        <v>0</v>
      </c>
      <c r="BI12" s="24">
        <f t="shared" si="7"/>
        <v>0</v>
      </c>
      <c r="BJ12" s="24">
        <f t="shared" si="7"/>
        <v>0</v>
      </c>
      <c r="BK12" s="24">
        <f t="shared" si="7"/>
        <v>0</v>
      </c>
      <c r="BL12" s="24">
        <f t="shared" si="7"/>
        <v>0</v>
      </c>
      <c r="BM12" s="24">
        <f t="shared" si="7"/>
        <v>0</v>
      </c>
      <c r="BN12" s="24"/>
      <c r="BO12" s="24"/>
      <c r="BP12" s="24">
        <f t="shared" si="8"/>
        <v>0</v>
      </c>
      <c r="BQ12" s="24">
        <f t="shared" si="9"/>
        <v>0</v>
      </c>
      <c r="BR12" s="25">
        <f t="shared" si="10"/>
        <v>0.78</v>
      </c>
      <c r="BS12" s="24">
        <f t="shared" si="11"/>
        <v>7800000</v>
      </c>
      <c r="BT12" s="24"/>
      <c r="BU12" s="24"/>
      <c r="BV12" s="24"/>
      <c r="BW12" s="24"/>
      <c r="BX12" s="24">
        <f>+'[4]AGOSTO 2016'!$H$546</f>
        <v>7800000</v>
      </c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5">
        <f t="shared" si="12"/>
        <v>0.21999999999999997</v>
      </c>
      <c r="CO12" s="24">
        <f t="shared" si="13"/>
        <v>2200000</v>
      </c>
      <c r="CP12" s="24">
        <f t="shared" si="14"/>
        <v>0</v>
      </c>
      <c r="CQ12" s="24">
        <f t="shared" si="14"/>
        <v>0</v>
      </c>
      <c r="CR12" s="24">
        <f t="shared" si="14"/>
        <v>0</v>
      </c>
      <c r="CS12" s="24">
        <f t="shared" si="14"/>
        <v>2200000</v>
      </c>
      <c r="CT12" s="24">
        <f t="shared" si="14"/>
        <v>0</v>
      </c>
      <c r="CU12" s="24">
        <f t="shared" si="14"/>
        <v>0</v>
      </c>
      <c r="CV12" s="24">
        <f t="shared" si="15"/>
        <v>0</v>
      </c>
      <c r="CW12" s="24">
        <f t="shared" si="15"/>
        <v>0</v>
      </c>
      <c r="CX12" s="24">
        <f t="shared" si="15"/>
        <v>0</v>
      </c>
      <c r="CY12" s="24">
        <f t="shared" si="16"/>
        <v>0</v>
      </c>
      <c r="CZ12" s="24">
        <f t="shared" si="16"/>
        <v>0</v>
      </c>
      <c r="DA12" s="24">
        <f t="shared" si="16"/>
        <v>0</v>
      </c>
      <c r="DB12" s="24">
        <f t="shared" si="17"/>
        <v>0</v>
      </c>
      <c r="DC12" s="24">
        <f t="shared" si="17"/>
        <v>0</v>
      </c>
      <c r="DD12" s="24">
        <f t="shared" si="17"/>
        <v>0</v>
      </c>
      <c r="DE12" s="24"/>
      <c r="DF12" s="24">
        <f t="shared" si="18"/>
        <v>0</v>
      </c>
      <c r="DG12" s="24">
        <f t="shared" si="18"/>
        <v>0</v>
      </c>
      <c r="DH12" s="24">
        <f t="shared" si="18"/>
        <v>0</v>
      </c>
      <c r="DJ12" s="77"/>
      <c r="DK12" s="77"/>
      <c r="DL12" s="77"/>
      <c r="DM12" s="77"/>
      <c r="DN12" s="77"/>
    </row>
    <row r="13" spans="1:118" ht="81" hidden="1" customHeight="1" x14ac:dyDescent="0.25">
      <c r="A13" s="30"/>
      <c r="B13" s="32" t="s">
        <v>65</v>
      </c>
      <c r="C13" s="20" t="s">
        <v>66</v>
      </c>
      <c r="D13" s="21" t="s">
        <v>67</v>
      </c>
      <c r="E13" s="22">
        <v>510</v>
      </c>
      <c r="F13" s="23" t="s">
        <v>68</v>
      </c>
      <c r="G13" s="24">
        <f t="shared" si="0"/>
        <v>267804662</v>
      </c>
      <c r="H13" s="24"/>
      <c r="I13" s="24"/>
      <c r="J13" s="24"/>
      <c r="K13" s="24">
        <v>160000000</v>
      </c>
      <c r="L13" s="24">
        <v>14004396</v>
      </c>
      <c r="M13" s="24"/>
      <c r="N13" s="24"/>
      <c r="O13" s="24"/>
      <c r="P13" s="24"/>
      <c r="Q13" s="24"/>
      <c r="R13" s="24"/>
      <c r="S13" s="24"/>
      <c r="T13" s="24">
        <v>1796640</v>
      </c>
      <c r="U13" s="24"/>
      <c r="V13" s="24"/>
      <c r="W13" s="24"/>
      <c r="X13" s="24"/>
      <c r="Y13" s="24"/>
      <c r="Z13" s="24">
        <f>48000000+2053626+3000000+450000+19500000+7000000+10000000+2000000</f>
        <v>92003626</v>
      </c>
      <c r="AA13" s="25">
        <f t="shared" si="1"/>
        <v>0.93376113818362128</v>
      </c>
      <c r="AB13" s="24">
        <f t="shared" si="2"/>
        <v>250065586</v>
      </c>
      <c r="AC13" s="24"/>
      <c r="AD13" s="24"/>
      <c r="AE13" s="24"/>
      <c r="AF13" s="24"/>
      <c r="AG13" s="24">
        <v>160000000</v>
      </c>
      <c r="AH13" s="24">
        <f>+'[3]FEBRERO 2016'!$P$697</f>
        <v>14004396</v>
      </c>
      <c r="AI13" s="24"/>
      <c r="AJ13" s="24"/>
      <c r="AK13" s="24"/>
      <c r="AL13" s="24"/>
      <c r="AM13" s="24"/>
      <c r="AN13" s="24"/>
      <c r="AO13" s="24"/>
      <c r="AP13" s="24">
        <f>+'[3]FEBRERO 2016'!$X$699</f>
        <v>1796640</v>
      </c>
      <c r="AQ13" s="24"/>
      <c r="AR13" s="24"/>
      <c r="AS13" s="24"/>
      <c r="AT13" s="24"/>
      <c r="AU13" s="24"/>
      <c r="AV13" s="24">
        <f>+'[1]SEPTIEMBRE 2016'!$AG$2676</f>
        <v>74264550</v>
      </c>
      <c r="AW13" s="25">
        <f t="shared" si="3"/>
        <v>6.6238861816378725E-2</v>
      </c>
      <c r="AX13" s="24">
        <f t="shared" si="4"/>
        <v>17739076</v>
      </c>
      <c r="AY13" s="24">
        <f t="shared" si="19"/>
        <v>0</v>
      </c>
      <c r="AZ13" s="24">
        <f t="shared" si="6"/>
        <v>0</v>
      </c>
      <c r="BA13" s="24">
        <f t="shared" si="6"/>
        <v>0</v>
      </c>
      <c r="BB13" s="24">
        <f t="shared" si="7"/>
        <v>0</v>
      </c>
      <c r="BC13" s="24">
        <f t="shared" si="7"/>
        <v>0</v>
      </c>
      <c r="BD13" s="24">
        <f t="shared" si="7"/>
        <v>0</v>
      </c>
      <c r="BE13" s="24">
        <f t="shared" si="7"/>
        <v>0</v>
      </c>
      <c r="BF13" s="24">
        <f t="shared" si="7"/>
        <v>0</v>
      </c>
      <c r="BG13" s="24">
        <f t="shared" si="7"/>
        <v>0</v>
      </c>
      <c r="BH13" s="24">
        <f t="shared" si="7"/>
        <v>0</v>
      </c>
      <c r="BI13" s="24">
        <f t="shared" si="7"/>
        <v>0</v>
      </c>
      <c r="BJ13" s="24">
        <f t="shared" si="7"/>
        <v>0</v>
      </c>
      <c r="BK13" s="24">
        <f t="shared" si="7"/>
        <v>0</v>
      </c>
      <c r="BL13" s="24">
        <f t="shared" si="7"/>
        <v>0</v>
      </c>
      <c r="BM13" s="24">
        <f t="shared" si="7"/>
        <v>0</v>
      </c>
      <c r="BN13" s="24"/>
      <c r="BO13" s="24"/>
      <c r="BP13" s="24">
        <f t="shared" si="8"/>
        <v>0</v>
      </c>
      <c r="BQ13" s="24">
        <f t="shared" si="9"/>
        <v>17739076</v>
      </c>
      <c r="BR13" s="25">
        <f t="shared" si="10"/>
        <v>0.89545926201986725</v>
      </c>
      <c r="BS13" s="24">
        <f t="shared" si="11"/>
        <v>239808165</v>
      </c>
      <c r="BT13" s="24"/>
      <c r="BU13" s="24"/>
      <c r="BV13" s="24"/>
      <c r="BW13" s="24"/>
      <c r="BX13" s="24">
        <f>+'[1]SEPTIEMBRE 2016'!$H$2674-BY13-CG13-CM13</f>
        <v>149989067</v>
      </c>
      <c r="BY13" s="24">
        <f>+'[7]MAYO 2016'!$H$1359</f>
        <v>14004396</v>
      </c>
      <c r="BZ13" s="24"/>
      <c r="CA13" s="24"/>
      <c r="CB13" s="24"/>
      <c r="CC13" s="24"/>
      <c r="CD13" s="24"/>
      <c r="CE13" s="24"/>
      <c r="CF13" s="24"/>
      <c r="CG13" s="24">
        <f>+'[7]MAYO 2016'!$H$1361</f>
        <v>1796640</v>
      </c>
      <c r="CH13" s="24"/>
      <c r="CI13" s="24"/>
      <c r="CJ13" s="24"/>
      <c r="CK13" s="24"/>
      <c r="CL13" s="24"/>
      <c r="CM13" s="24">
        <f>+'[1]SEPTIEMBRE 2016'!$H$2685+'[1]SEPTIEMBRE 2016'!$H$2693+'[1]SEPTIEMBRE 2016'!$H$2696+'[1]SEPTIEMBRE 2016'!$H$2699+'[1]SEPTIEMBRE 2016'!$H$2703+'[1]SEPTIEMBRE 2016'!$H$2705+'[1]SEPTIEMBRE 2016'!$H$2707+'[1]SEPTIEMBRE 2016'!$H$2727+'[1]SEPTIEMBRE 2016'!$H$2728+'[1]SEPTIEMBRE 2016'!$H$2736+'[1]SEPTIEMBRE 2016'!$H$2740+'[1]SEPTIEMBRE 2016'!$H$2741+'[1]SEPTIEMBRE 2016'!$H$2743+'[1]SEPTIEMBRE 2016'!$H$2757</f>
        <v>74018062</v>
      </c>
      <c r="CN13" s="25">
        <f t="shared" si="12"/>
        <v>0.10454073798013275</v>
      </c>
      <c r="CO13" s="24">
        <f t="shared" si="13"/>
        <v>27996497</v>
      </c>
      <c r="CP13" s="24">
        <f t="shared" si="14"/>
        <v>0</v>
      </c>
      <c r="CQ13" s="24">
        <f t="shared" si="14"/>
        <v>0</v>
      </c>
      <c r="CR13" s="24">
        <f t="shared" si="14"/>
        <v>0</v>
      </c>
      <c r="CS13" s="24">
        <f t="shared" si="14"/>
        <v>10010933</v>
      </c>
      <c r="CT13" s="24">
        <f t="shared" si="14"/>
        <v>0</v>
      </c>
      <c r="CU13" s="24">
        <f t="shared" si="14"/>
        <v>0</v>
      </c>
      <c r="CV13" s="24">
        <f t="shared" si="15"/>
        <v>0</v>
      </c>
      <c r="CW13" s="24">
        <f t="shared" si="15"/>
        <v>0</v>
      </c>
      <c r="CX13" s="24">
        <f t="shared" si="15"/>
        <v>0</v>
      </c>
      <c r="CY13" s="24">
        <f t="shared" si="16"/>
        <v>0</v>
      </c>
      <c r="CZ13" s="24">
        <f t="shared" si="16"/>
        <v>0</v>
      </c>
      <c r="DA13" s="24">
        <f t="shared" si="16"/>
        <v>0</v>
      </c>
      <c r="DB13" s="24">
        <f t="shared" si="17"/>
        <v>0</v>
      </c>
      <c r="DC13" s="24">
        <f t="shared" si="17"/>
        <v>0</v>
      </c>
      <c r="DD13" s="24">
        <f t="shared" si="17"/>
        <v>0</v>
      </c>
      <c r="DE13" s="24"/>
      <c r="DF13" s="24">
        <f t="shared" si="18"/>
        <v>0</v>
      </c>
      <c r="DG13" s="24">
        <f t="shared" si="18"/>
        <v>0</v>
      </c>
      <c r="DH13" s="24">
        <f t="shared" si="18"/>
        <v>17985564</v>
      </c>
      <c r="DJ13" s="77"/>
      <c r="DK13" s="77"/>
      <c r="DL13" s="77"/>
      <c r="DM13" s="77"/>
      <c r="DN13" s="77"/>
    </row>
    <row r="14" spans="1:118" ht="48" hidden="1" customHeight="1" x14ac:dyDescent="0.25">
      <c r="A14" s="30"/>
      <c r="B14" s="214" t="s">
        <v>69</v>
      </c>
      <c r="C14" s="20" t="s">
        <v>70</v>
      </c>
      <c r="D14" s="21" t="s">
        <v>71</v>
      </c>
      <c r="E14" s="22">
        <v>510</v>
      </c>
      <c r="F14" s="23" t="s">
        <v>43</v>
      </c>
      <c r="G14" s="24">
        <f t="shared" si="0"/>
        <v>65000000</v>
      </c>
      <c r="H14" s="24"/>
      <c r="I14" s="24"/>
      <c r="J14" s="24"/>
      <c r="K14" s="24">
        <v>65000000</v>
      </c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5">
        <f t="shared" si="1"/>
        <v>0.90550324615384614</v>
      </c>
      <c r="AB14" s="24">
        <f t="shared" si="2"/>
        <v>58857711</v>
      </c>
      <c r="AC14" s="24"/>
      <c r="AD14" s="24"/>
      <c r="AE14" s="24"/>
      <c r="AF14" s="24"/>
      <c r="AG14" s="24">
        <f>+'[4]AGOSTO 2016'!$O$2340</f>
        <v>58857711</v>
      </c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5">
        <f t="shared" si="3"/>
        <v>9.4496753846153858E-2</v>
      </c>
      <c r="AX14" s="24">
        <f t="shared" si="4"/>
        <v>6142289</v>
      </c>
      <c r="AY14" s="24">
        <f t="shared" si="19"/>
        <v>0</v>
      </c>
      <c r="AZ14" s="24">
        <f t="shared" si="6"/>
        <v>0</v>
      </c>
      <c r="BA14" s="24">
        <f t="shared" si="6"/>
        <v>0</v>
      </c>
      <c r="BB14" s="24">
        <f t="shared" si="7"/>
        <v>6142289</v>
      </c>
      <c r="BC14" s="24">
        <f t="shared" si="7"/>
        <v>0</v>
      </c>
      <c r="BD14" s="24">
        <f t="shared" si="7"/>
        <v>0</v>
      </c>
      <c r="BE14" s="24">
        <f t="shared" si="7"/>
        <v>0</v>
      </c>
      <c r="BF14" s="24">
        <f t="shared" si="7"/>
        <v>0</v>
      </c>
      <c r="BG14" s="24">
        <f t="shared" si="7"/>
        <v>0</v>
      </c>
      <c r="BH14" s="24">
        <f t="shared" si="7"/>
        <v>0</v>
      </c>
      <c r="BI14" s="24">
        <f t="shared" si="7"/>
        <v>0</v>
      </c>
      <c r="BJ14" s="24">
        <f t="shared" si="7"/>
        <v>0</v>
      </c>
      <c r="BK14" s="24">
        <f t="shared" si="7"/>
        <v>0</v>
      </c>
      <c r="BL14" s="24">
        <f t="shared" si="7"/>
        <v>0</v>
      </c>
      <c r="BM14" s="24">
        <f t="shared" si="7"/>
        <v>0</v>
      </c>
      <c r="BN14" s="24"/>
      <c r="BO14" s="24">
        <f>+X14-AT14</f>
        <v>0</v>
      </c>
      <c r="BP14" s="24">
        <f t="shared" si="8"/>
        <v>0</v>
      </c>
      <c r="BQ14" s="24">
        <f t="shared" si="9"/>
        <v>0</v>
      </c>
      <c r="BR14" s="25">
        <f t="shared" si="10"/>
        <v>0.84347380000000005</v>
      </c>
      <c r="BS14" s="24">
        <f t="shared" si="11"/>
        <v>54825797</v>
      </c>
      <c r="BT14" s="24"/>
      <c r="BU14" s="24"/>
      <c r="BV14" s="24"/>
      <c r="BW14" s="24"/>
      <c r="BX14" s="24">
        <f>+'[1]SEPTIEMBRE 2016'!$H$2761</f>
        <v>54825797</v>
      </c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5">
        <f>1-BR14</f>
        <v>0.15652619999999995</v>
      </c>
      <c r="CO14" s="24">
        <f t="shared" si="13"/>
        <v>10174203</v>
      </c>
      <c r="CP14" s="24">
        <f t="shared" si="14"/>
        <v>0</v>
      </c>
      <c r="CQ14" s="24">
        <f t="shared" si="14"/>
        <v>0</v>
      </c>
      <c r="CR14" s="24">
        <f t="shared" si="14"/>
        <v>0</v>
      </c>
      <c r="CS14" s="24">
        <f t="shared" si="14"/>
        <v>10174203</v>
      </c>
      <c r="CT14" s="24">
        <f t="shared" si="14"/>
        <v>0</v>
      </c>
      <c r="CU14" s="24">
        <f t="shared" si="14"/>
        <v>0</v>
      </c>
      <c r="CV14" s="24">
        <f t="shared" si="15"/>
        <v>0</v>
      </c>
      <c r="CW14" s="24">
        <f t="shared" si="15"/>
        <v>0</v>
      </c>
      <c r="CX14" s="24">
        <f t="shared" si="15"/>
        <v>0</v>
      </c>
      <c r="CY14" s="24">
        <f t="shared" si="16"/>
        <v>0</v>
      </c>
      <c r="CZ14" s="24">
        <f t="shared" si="16"/>
        <v>0</v>
      </c>
      <c r="DA14" s="24">
        <f t="shared" si="16"/>
        <v>0</v>
      </c>
      <c r="DB14" s="24">
        <f t="shared" si="17"/>
        <v>0</v>
      </c>
      <c r="DC14" s="24">
        <f t="shared" si="17"/>
        <v>0</v>
      </c>
      <c r="DD14" s="24">
        <f t="shared" si="17"/>
        <v>0</v>
      </c>
      <c r="DE14" s="24"/>
      <c r="DF14" s="24">
        <f t="shared" si="18"/>
        <v>0</v>
      </c>
      <c r="DG14" s="24">
        <f t="shared" si="18"/>
        <v>0</v>
      </c>
      <c r="DH14" s="24">
        <f t="shared" si="18"/>
        <v>0</v>
      </c>
      <c r="DJ14" s="77"/>
      <c r="DK14" s="77"/>
      <c r="DL14" s="77"/>
      <c r="DM14" s="77"/>
      <c r="DN14" s="77"/>
    </row>
    <row r="15" spans="1:118" ht="45" hidden="1" x14ac:dyDescent="0.25">
      <c r="A15" s="30"/>
      <c r="B15" s="227"/>
      <c r="C15" s="20" t="s">
        <v>72</v>
      </c>
      <c r="D15" s="21" t="s">
        <v>73</v>
      </c>
      <c r="E15" s="22">
        <v>510</v>
      </c>
      <c r="F15" s="23" t="s">
        <v>43</v>
      </c>
      <c r="G15" s="24">
        <f t="shared" si="0"/>
        <v>32000000</v>
      </c>
      <c r="H15" s="24"/>
      <c r="I15" s="24"/>
      <c r="J15" s="24"/>
      <c r="K15" s="24">
        <v>1568554</v>
      </c>
      <c r="L15" s="24"/>
      <c r="M15" s="24"/>
      <c r="N15" s="24"/>
      <c r="O15" s="24"/>
      <c r="P15" s="24"/>
      <c r="Q15" s="24"/>
      <c r="R15" s="24"/>
      <c r="S15" s="24">
        <v>30431446</v>
      </c>
      <c r="T15" s="24"/>
      <c r="U15" s="24"/>
      <c r="V15" s="24"/>
      <c r="W15" s="24"/>
      <c r="X15" s="24"/>
      <c r="Y15" s="24"/>
      <c r="Z15" s="24"/>
      <c r="AA15" s="25">
        <f t="shared" si="1"/>
        <v>0.77308631250000004</v>
      </c>
      <c r="AB15" s="24">
        <f t="shared" si="2"/>
        <v>24738762</v>
      </c>
      <c r="AC15" s="24"/>
      <c r="AD15" s="24"/>
      <c r="AE15" s="24"/>
      <c r="AF15" s="24"/>
      <c r="AG15" s="24">
        <f>+'[7]MAYO 2016'!$O$1393</f>
        <v>1550000</v>
      </c>
      <c r="AH15" s="24"/>
      <c r="AI15" s="24"/>
      <c r="AJ15" s="24"/>
      <c r="AK15" s="24"/>
      <c r="AL15" s="24"/>
      <c r="AM15" s="24"/>
      <c r="AN15" s="24"/>
      <c r="AO15" s="24">
        <f>+'[4]AGOSTO 2016'!$W$2380</f>
        <v>23188762</v>
      </c>
      <c r="AP15" s="24"/>
      <c r="AQ15" s="24"/>
      <c r="AR15" s="24"/>
      <c r="AS15" s="24"/>
      <c r="AT15" s="24"/>
      <c r="AU15" s="24"/>
      <c r="AV15" s="24"/>
      <c r="AW15" s="25">
        <f t="shared" si="3"/>
        <v>0.22691368749999996</v>
      </c>
      <c r="AX15" s="24">
        <f t="shared" si="4"/>
        <v>7261238</v>
      </c>
      <c r="AY15" s="24">
        <f t="shared" si="19"/>
        <v>0</v>
      </c>
      <c r="AZ15" s="24">
        <f t="shared" si="6"/>
        <v>0</v>
      </c>
      <c r="BA15" s="24">
        <f t="shared" si="6"/>
        <v>0</v>
      </c>
      <c r="BB15" s="24">
        <f t="shared" si="7"/>
        <v>18554</v>
      </c>
      <c r="BC15" s="24">
        <f t="shared" si="7"/>
        <v>0</v>
      </c>
      <c r="BD15" s="24">
        <f t="shared" si="7"/>
        <v>0</v>
      </c>
      <c r="BE15" s="24">
        <f t="shared" si="7"/>
        <v>0</v>
      </c>
      <c r="BF15" s="24">
        <f t="shared" si="7"/>
        <v>0</v>
      </c>
      <c r="BG15" s="24">
        <f t="shared" si="7"/>
        <v>0</v>
      </c>
      <c r="BH15" s="24">
        <f t="shared" si="7"/>
        <v>0</v>
      </c>
      <c r="BI15" s="24">
        <f t="shared" si="7"/>
        <v>0</v>
      </c>
      <c r="BJ15" s="24">
        <f t="shared" si="7"/>
        <v>7242684</v>
      </c>
      <c r="BK15" s="24">
        <f t="shared" si="7"/>
        <v>0</v>
      </c>
      <c r="BL15" s="24">
        <f t="shared" si="7"/>
        <v>0</v>
      </c>
      <c r="BM15" s="24">
        <f t="shared" si="7"/>
        <v>0</v>
      </c>
      <c r="BN15" s="24"/>
      <c r="BO15" s="24"/>
      <c r="BP15" s="24">
        <f t="shared" si="8"/>
        <v>0</v>
      </c>
      <c r="BQ15" s="24">
        <f t="shared" si="9"/>
        <v>0</v>
      </c>
      <c r="BR15" s="25">
        <f t="shared" si="10"/>
        <v>0.7727571875</v>
      </c>
      <c r="BS15" s="24">
        <f t="shared" si="11"/>
        <v>24728230</v>
      </c>
      <c r="BT15" s="24"/>
      <c r="BU15" s="24"/>
      <c r="BV15" s="24"/>
      <c r="BW15" s="24"/>
      <c r="BX15" s="24">
        <f>+'[7]MAYO 2016'!$O$1397</f>
        <v>1550000</v>
      </c>
      <c r="BY15" s="24"/>
      <c r="BZ15" s="24"/>
      <c r="CA15" s="24"/>
      <c r="CB15" s="24"/>
      <c r="CC15" s="24"/>
      <c r="CD15" s="24"/>
      <c r="CE15" s="24"/>
      <c r="CF15" s="24">
        <f>+'[4]AGOSTO 2016'!$H$2378-BX15</f>
        <v>23178230</v>
      </c>
      <c r="CG15" s="24"/>
      <c r="CH15" s="24"/>
      <c r="CI15" s="24"/>
      <c r="CJ15" s="24"/>
      <c r="CK15" s="24"/>
      <c r="CL15" s="24"/>
      <c r="CM15" s="24"/>
      <c r="CN15" s="25">
        <f t="shared" si="12"/>
        <v>0.2272428125</v>
      </c>
      <c r="CO15" s="24">
        <f t="shared" si="13"/>
        <v>7271770</v>
      </c>
      <c r="CP15" s="24">
        <f t="shared" si="14"/>
        <v>0</v>
      </c>
      <c r="CQ15" s="24">
        <f t="shared" si="14"/>
        <v>0</v>
      </c>
      <c r="CR15" s="24">
        <f t="shared" si="14"/>
        <v>0</v>
      </c>
      <c r="CS15" s="24">
        <f t="shared" si="14"/>
        <v>18554</v>
      </c>
      <c r="CT15" s="24">
        <f t="shared" si="14"/>
        <v>0</v>
      </c>
      <c r="CU15" s="24">
        <f t="shared" si="14"/>
        <v>0</v>
      </c>
      <c r="CV15" s="24">
        <f t="shared" si="15"/>
        <v>0</v>
      </c>
      <c r="CW15" s="24">
        <f t="shared" si="15"/>
        <v>0</v>
      </c>
      <c r="CX15" s="24">
        <f t="shared" si="15"/>
        <v>0</v>
      </c>
      <c r="CY15" s="24">
        <f t="shared" si="16"/>
        <v>0</v>
      </c>
      <c r="CZ15" s="24">
        <f t="shared" si="16"/>
        <v>0</v>
      </c>
      <c r="DA15" s="24">
        <f t="shared" si="16"/>
        <v>7253216</v>
      </c>
      <c r="DB15" s="24">
        <f t="shared" si="17"/>
        <v>0</v>
      </c>
      <c r="DC15" s="24">
        <f t="shared" si="17"/>
        <v>0</v>
      </c>
      <c r="DD15" s="24">
        <f t="shared" si="17"/>
        <v>0</v>
      </c>
      <c r="DE15" s="24"/>
      <c r="DF15" s="24">
        <f t="shared" si="18"/>
        <v>0</v>
      </c>
      <c r="DG15" s="24">
        <f t="shared" si="18"/>
        <v>0</v>
      </c>
      <c r="DH15" s="24">
        <f t="shared" si="18"/>
        <v>0</v>
      </c>
      <c r="DJ15" s="77"/>
      <c r="DK15" s="77"/>
      <c r="DL15" s="77"/>
      <c r="DM15" s="77"/>
      <c r="DN15" s="77"/>
    </row>
    <row r="16" spans="1:118" ht="20.25" hidden="1" customHeight="1" x14ac:dyDescent="0.25">
      <c r="A16" s="30"/>
      <c r="B16" s="215"/>
      <c r="C16" s="20" t="s">
        <v>74</v>
      </c>
      <c r="D16" s="21" t="s">
        <v>75</v>
      </c>
      <c r="E16" s="22">
        <v>510</v>
      </c>
      <c r="F16" s="23" t="s">
        <v>76</v>
      </c>
      <c r="G16" s="24">
        <f t="shared" si="0"/>
        <v>0</v>
      </c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>
        <f>4000000-4000000</f>
        <v>0</v>
      </c>
      <c r="AA16" s="25" t="e">
        <f t="shared" si="1"/>
        <v>#DIV/0!</v>
      </c>
      <c r="AB16" s="24">
        <f t="shared" si="2"/>
        <v>0</v>
      </c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5" t="e">
        <f t="shared" si="3"/>
        <v>#DIV/0!</v>
      </c>
      <c r="AX16" s="24">
        <f t="shared" si="4"/>
        <v>0</v>
      </c>
      <c r="AY16" s="24">
        <f t="shared" si="19"/>
        <v>0</v>
      </c>
      <c r="AZ16" s="24">
        <f t="shared" si="6"/>
        <v>0</v>
      </c>
      <c r="BA16" s="24">
        <f t="shared" si="6"/>
        <v>0</v>
      </c>
      <c r="BB16" s="24">
        <f t="shared" si="7"/>
        <v>0</v>
      </c>
      <c r="BC16" s="24">
        <f t="shared" si="7"/>
        <v>0</v>
      </c>
      <c r="BD16" s="24">
        <f t="shared" si="7"/>
        <v>0</v>
      </c>
      <c r="BE16" s="24">
        <f t="shared" si="7"/>
        <v>0</v>
      </c>
      <c r="BF16" s="24">
        <f t="shared" si="7"/>
        <v>0</v>
      </c>
      <c r="BG16" s="24">
        <f t="shared" si="7"/>
        <v>0</v>
      </c>
      <c r="BH16" s="24">
        <f t="shared" si="7"/>
        <v>0</v>
      </c>
      <c r="BI16" s="24">
        <f t="shared" si="7"/>
        <v>0</v>
      </c>
      <c r="BJ16" s="24">
        <f t="shared" si="7"/>
        <v>0</v>
      </c>
      <c r="BK16" s="24">
        <f t="shared" si="7"/>
        <v>0</v>
      </c>
      <c r="BL16" s="24">
        <f t="shared" si="7"/>
        <v>0</v>
      </c>
      <c r="BM16" s="24">
        <f t="shared" si="7"/>
        <v>0</v>
      </c>
      <c r="BN16" s="24"/>
      <c r="BO16" s="24"/>
      <c r="BP16" s="24">
        <f t="shared" si="8"/>
        <v>0</v>
      </c>
      <c r="BQ16" s="24">
        <f t="shared" si="9"/>
        <v>0</v>
      </c>
      <c r="BR16" s="25" t="e">
        <f t="shared" si="10"/>
        <v>#DIV/0!</v>
      </c>
      <c r="BS16" s="24">
        <f t="shared" si="11"/>
        <v>0</v>
      </c>
      <c r="BT16" s="24"/>
      <c r="BU16" s="24"/>
      <c r="BV16" s="24"/>
      <c r="BW16" s="24"/>
      <c r="BX16" s="24"/>
      <c r="BY16" s="24"/>
      <c r="BZ16" s="24"/>
      <c r="CA16" s="24"/>
      <c r="CB16" s="24"/>
      <c r="CC16" s="24"/>
      <c r="CD16" s="24"/>
      <c r="CE16" s="24"/>
      <c r="CF16" s="24"/>
      <c r="CG16" s="24"/>
      <c r="CH16" s="24"/>
      <c r="CI16" s="24"/>
      <c r="CJ16" s="24"/>
      <c r="CK16" s="24"/>
      <c r="CL16" s="24"/>
      <c r="CM16" s="24"/>
      <c r="CN16" s="25" t="e">
        <f t="shared" si="12"/>
        <v>#DIV/0!</v>
      </c>
      <c r="CO16" s="24">
        <f t="shared" si="13"/>
        <v>0</v>
      </c>
      <c r="CP16" s="24">
        <f t="shared" si="14"/>
        <v>0</v>
      </c>
      <c r="CQ16" s="24">
        <f t="shared" si="14"/>
        <v>0</v>
      </c>
      <c r="CR16" s="24">
        <f t="shared" si="14"/>
        <v>0</v>
      </c>
      <c r="CS16" s="24">
        <f t="shared" si="14"/>
        <v>0</v>
      </c>
      <c r="CT16" s="24">
        <f t="shared" si="14"/>
        <v>0</v>
      </c>
      <c r="CU16" s="24">
        <f t="shared" si="14"/>
        <v>0</v>
      </c>
      <c r="CV16" s="24">
        <f t="shared" si="15"/>
        <v>0</v>
      </c>
      <c r="CW16" s="24">
        <f t="shared" si="15"/>
        <v>0</v>
      </c>
      <c r="CX16" s="24">
        <f t="shared" si="15"/>
        <v>0</v>
      </c>
      <c r="CY16" s="24">
        <f t="shared" si="16"/>
        <v>0</v>
      </c>
      <c r="CZ16" s="24">
        <f t="shared" si="16"/>
        <v>0</v>
      </c>
      <c r="DA16" s="24">
        <f t="shared" si="16"/>
        <v>0</v>
      </c>
      <c r="DB16" s="24">
        <f t="shared" si="17"/>
        <v>0</v>
      </c>
      <c r="DC16" s="24">
        <f t="shared" si="17"/>
        <v>0</v>
      </c>
      <c r="DD16" s="24">
        <f t="shared" si="17"/>
        <v>0</v>
      </c>
      <c r="DE16" s="24"/>
      <c r="DF16" s="24">
        <f t="shared" si="18"/>
        <v>0</v>
      </c>
      <c r="DG16" s="24">
        <f t="shared" si="18"/>
        <v>0</v>
      </c>
      <c r="DH16" s="24">
        <f t="shared" si="18"/>
        <v>0</v>
      </c>
      <c r="DJ16" s="77"/>
      <c r="DK16" s="77"/>
      <c r="DL16" s="77"/>
      <c r="DM16" s="77"/>
      <c r="DN16" s="77"/>
    </row>
    <row r="17" spans="1:118" ht="26.25" hidden="1" customHeight="1" x14ac:dyDescent="0.25">
      <c r="A17" s="30"/>
      <c r="B17" s="34" t="s">
        <v>77</v>
      </c>
      <c r="C17" s="20" t="s">
        <v>78</v>
      </c>
      <c r="D17" s="21" t="s">
        <v>79</v>
      </c>
      <c r="E17" s="22">
        <v>510</v>
      </c>
      <c r="F17" s="23" t="s">
        <v>43</v>
      </c>
      <c r="G17" s="24">
        <f t="shared" si="0"/>
        <v>30800000</v>
      </c>
      <c r="H17" s="24"/>
      <c r="I17" s="24"/>
      <c r="J17" s="24"/>
      <c r="K17" s="24">
        <f>30800000</f>
        <v>30800000</v>
      </c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5">
        <f t="shared" si="1"/>
        <v>1</v>
      </c>
      <c r="AB17" s="24">
        <f t="shared" si="2"/>
        <v>30800000</v>
      </c>
      <c r="AC17" s="24"/>
      <c r="AD17" s="24"/>
      <c r="AE17" s="24"/>
      <c r="AF17" s="24"/>
      <c r="AG17" s="24">
        <f>+'[6]JUNIO 2016'!$O$1629</f>
        <v>30800000</v>
      </c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5">
        <f t="shared" si="3"/>
        <v>0</v>
      </c>
      <c r="AX17" s="24">
        <f t="shared" si="4"/>
        <v>0</v>
      </c>
      <c r="AY17" s="24">
        <f>+H17</f>
        <v>0</v>
      </c>
      <c r="AZ17" s="24">
        <f>+I17</f>
        <v>0</v>
      </c>
      <c r="BA17" s="24">
        <f>+J17</f>
        <v>0</v>
      </c>
      <c r="BB17" s="24">
        <f>+K17-AG17</f>
        <v>0</v>
      </c>
      <c r="BC17" s="24">
        <f t="shared" ref="BC17:BM17" si="20">+L17</f>
        <v>0</v>
      </c>
      <c r="BD17" s="24">
        <f t="shared" si="20"/>
        <v>0</v>
      </c>
      <c r="BE17" s="24">
        <f t="shared" si="20"/>
        <v>0</v>
      </c>
      <c r="BF17" s="24">
        <f t="shared" si="20"/>
        <v>0</v>
      </c>
      <c r="BG17" s="24">
        <f t="shared" si="20"/>
        <v>0</v>
      </c>
      <c r="BH17" s="24">
        <f t="shared" si="20"/>
        <v>0</v>
      </c>
      <c r="BI17" s="24">
        <f t="shared" si="20"/>
        <v>0</v>
      </c>
      <c r="BJ17" s="24">
        <f t="shared" si="20"/>
        <v>0</v>
      </c>
      <c r="BK17" s="24">
        <f t="shared" si="20"/>
        <v>0</v>
      </c>
      <c r="BL17" s="24">
        <f t="shared" si="20"/>
        <v>0</v>
      </c>
      <c r="BM17" s="24">
        <f t="shared" si="20"/>
        <v>0</v>
      </c>
      <c r="BN17" s="24"/>
      <c r="BO17" s="24">
        <f>+X17</f>
        <v>0</v>
      </c>
      <c r="BP17" s="24">
        <f>+Y17</f>
        <v>0</v>
      </c>
      <c r="BQ17" s="24">
        <f>+Z17</f>
        <v>0</v>
      </c>
      <c r="BR17" s="25">
        <f t="shared" si="10"/>
        <v>0.6428571428571429</v>
      </c>
      <c r="BS17" s="24">
        <f t="shared" si="11"/>
        <v>19800000</v>
      </c>
      <c r="BT17" s="24"/>
      <c r="BU17" s="24"/>
      <c r="BV17" s="24"/>
      <c r="BW17" s="24"/>
      <c r="BX17" s="24">
        <f>+'[5]JULIO 2016'!$H$1796</f>
        <v>19800000</v>
      </c>
      <c r="BY17" s="24"/>
      <c r="BZ17" s="24"/>
      <c r="CA17" s="24"/>
      <c r="CB17" s="24"/>
      <c r="CC17" s="24"/>
      <c r="CD17" s="24"/>
      <c r="CE17" s="24"/>
      <c r="CF17" s="24"/>
      <c r="CG17" s="24"/>
      <c r="CH17" s="24"/>
      <c r="CI17" s="24"/>
      <c r="CJ17" s="24"/>
      <c r="CK17" s="24"/>
      <c r="CL17" s="24"/>
      <c r="CM17" s="24"/>
      <c r="CN17" s="25">
        <f t="shared" si="12"/>
        <v>0.3571428571428571</v>
      </c>
      <c r="CO17" s="24">
        <f t="shared" si="13"/>
        <v>11000000</v>
      </c>
      <c r="CP17" s="24">
        <f t="shared" si="14"/>
        <v>0</v>
      </c>
      <c r="CQ17" s="24">
        <f t="shared" si="14"/>
        <v>0</v>
      </c>
      <c r="CR17" s="24">
        <f t="shared" si="14"/>
        <v>0</v>
      </c>
      <c r="CS17" s="24">
        <f t="shared" si="14"/>
        <v>11000000</v>
      </c>
      <c r="CT17" s="24">
        <f t="shared" si="14"/>
        <v>0</v>
      </c>
      <c r="CU17" s="24">
        <f t="shared" si="14"/>
        <v>0</v>
      </c>
      <c r="CV17" s="24">
        <f>N17-CA17</f>
        <v>0</v>
      </c>
      <c r="CW17" s="24">
        <f>O17-CB17</f>
        <v>0</v>
      </c>
      <c r="CX17" s="24">
        <f>P17-CC17</f>
        <v>0</v>
      </c>
      <c r="CY17" s="24">
        <f t="shared" si="16"/>
        <v>0</v>
      </c>
      <c r="CZ17" s="24">
        <f t="shared" si="16"/>
        <v>0</v>
      </c>
      <c r="DA17" s="24">
        <f t="shared" si="16"/>
        <v>0</v>
      </c>
      <c r="DB17" s="24">
        <f>T17-CG17</f>
        <v>0</v>
      </c>
      <c r="DC17" s="24">
        <f>U17-CH17</f>
        <v>0</v>
      </c>
      <c r="DD17" s="24">
        <f>V17-CI17</f>
        <v>0</v>
      </c>
      <c r="DE17" s="24"/>
      <c r="DF17" s="24">
        <f>X17-CK17</f>
        <v>0</v>
      </c>
      <c r="DG17" s="24">
        <f>Y17-CL17</f>
        <v>0</v>
      </c>
      <c r="DH17" s="24">
        <f>Z17-CM17</f>
        <v>0</v>
      </c>
      <c r="DJ17" s="77"/>
      <c r="DK17" s="77"/>
      <c r="DL17" s="77"/>
      <c r="DM17" s="77"/>
      <c r="DN17" s="77"/>
    </row>
    <row r="18" spans="1:118" ht="30" hidden="1" x14ac:dyDescent="0.25">
      <c r="A18" s="30"/>
      <c r="B18" s="214" t="s">
        <v>80</v>
      </c>
      <c r="C18" s="20" t="s">
        <v>81</v>
      </c>
      <c r="D18" s="21" t="s">
        <v>82</v>
      </c>
      <c r="E18" s="22">
        <v>510</v>
      </c>
      <c r="F18" s="23" t="s">
        <v>43</v>
      </c>
      <c r="G18" s="24">
        <f t="shared" si="0"/>
        <v>9057037</v>
      </c>
      <c r="H18" s="24"/>
      <c r="I18" s="24"/>
      <c r="J18" s="24"/>
      <c r="K18" s="24">
        <f>17000000-7942963</f>
        <v>9057037</v>
      </c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5">
        <f t="shared" si="1"/>
        <v>1</v>
      </c>
      <c r="AB18" s="24">
        <f t="shared" si="2"/>
        <v>9057037</v>
      </c>
      <c r="AC18" s="24"/>
      <c r="AD18" s="24"/>
      <c r="AE18" s="24"/>
      <c r="AF18" s="24"/>
      <c r="AG18" s="24">
        <f>+'[5]JULIO 2016'!$O$1808</f>
        <v>9057037</v>
      </c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5">
        <f t="shared" si="3"/>
        <v>0</v>
      </c>
      <c r="AX18" s="24">
        <f t="shared" si="4"/>
        <v>0</v>
      </c>
      <c r="AY18" s="24">
        <f t="shared" ref="AY18:BA19" si="21">H18-AD18</f>
        <v>0</v>
      </c>
      <c r="AZ18" s="24">
        <f t="shared" si="21"/>
        <v>0</v>
      </c>
      <c r="BA18" s="24">
        <f t="shared" si="21"/>
        <v>0</v>
      </c>
      <c r="BB18" s="24">
        <f>+K18-AG18</f>
        <v>0</v>
      </c>
      <c r="BC18" s="24">
        <f t="shared" ref="BC18:BM19" si="22">+L18-AH18</f>
        <v>0</v>
      </c>
      <c r="BD18" s="24">
        <f t="shared" si="22"/>
        <v>0</v>
      </c>
      <c r="BE18" s="24">
        <f t="shared" si="22"/>
        <v>0</v>
      </c>
      <c r="BF18" s="24">
        <f t="shared" si="22"/>
        <v>0</v>
      </c>
      <c r="BG18" s="24">
        <f t="shared" si="22"/>
        <v>0</v>
      </c>
      <c r="BH18" s="24">
        <f t="shared" si="22"/>
        <v>0</v>
      </c>
      <c r="BI18" s="24">
        <f t="shared" si="22"/>
        <v>0</v>
      </c>
      <c r="BJ18" s="24">
        <f t="shared" si="22"/>
        <v>0</v>
      </c>
      <c r="BK18" s="24">
        <f t="shared" si="22"/>
        <v>0</v>
      </c>
      <c r="BL18" s="24">
        <f t="shared" si="22"/>
        <v>0</v>
      </c>
      <c r="BM18" s="24">
        <f t="shared" si="22"/>
        <v>0</v>
      </c>
      <c r="BN18" s="24"/>
      <c r="BO18" s="24"/>
      <c r="BP18" s="24">
        <f>Y18-AU18</f>
        <v>0</v>
      </c>
      <c r="BQ18" s="24">
        <f>+Z18-AV18</f>
        <v>0</v>
      </c>
      <c r="BR18" s="25">
        <f t="shared" si="10"/>
        <v>1</v>
      </c>
      <c r="BS18" s="24">
        <f t="shared" si="11"/>
        <v>9057037</v>
      </c>
      <c r="BT18" s="24"/>
      <c r="BU18" s="24"/>
      <c r="BV18" s="24"/>
      <c r="BW18" s="24"/>
      <c r="BX18" s="24">
        <f>+'[5]JULIO 2016'!$H$1806</f>
        <v>9057037</v>
      </c>
      <c r="BY18" s="24"/>
      <c r="BZ18" s="24"/>
      <c r="CA18" s="24"/>
      <c r="CB18" s="24"/>
      <c r="CC18" s="24"/>
      <c r="CD18" s="24"/>
      <c r="CE18" s="24"/>
      <c r="CF18" s="24"/>
      <c r="CG18" s="24"/>
      <c r="CH18" s="24"/>
      <c r="CI18" s="24"/>
      <c r="CJ18" s="24"/>
      <c r="CK18" s="24"/>
      <c r="CL18" s="24"/>
      <c r="CM18" s="24"/>
      <c r="CN18" s="25">
        <f t="shared" si="12"/>
        <v>0</v>
      </c>
      <c r="CO18" s="24">
        <f t="shared" si="13"/>
        <v>0</v>
      </c>
      <c r="CP18" s="24">
        <f t="shared" si="14"/>
        <v>0</v>
      </c>
      <c r="CQ18" s="24">
        <f t="shared" si="14"/>
        <v>0</v>
      </c>
      <c r="CR18" s="24">
        <f t="shared" si="14"/>
        <v>0</v>
      </c>
      <c r="CS18" s="24">
        <f t="shared" si="14"/>
        <v>0</v>
      </c>
      <c r="CT18" s="24">
        <f t="shared" si="14"/>
        <v>0</v>
      </c>
      <c r="CU18" s="24">
        <f t="shared" si="14"/>
        <v>0</v>
      </c>
      <c r="CV18" s="24">
        <f t="shared" ref="CV18:CX19" si="23">+N18-CA18</f>
        <v>0</v>
      </c>
      <c r="CW18" s="24">
        <f t="shared" si="23"/>
        <v>0</v>
      </c>
      <c r="CX18" s="24">
        <f t="shared" si="23"/>
        <v>0</v>
      </c>
      <c r="CY18" s="24">
        <f t="shared" si="16"/>
        <v>0</v>
      </c>
      <c r="CZ18" s="24">
        <f t="shared" si="16"/>
        <v>0</v>
      </c>
      <c r="DA18" s="24">
        <f t="shared" si="16"/>
        <v>0</v>
      </c>
      <c r="DB18" s="24">
        <f t="shared" ref="DB18:DD19" si="24">+T18-CG18</f>
        <v>0</v>
      </c>
      <c r="DC18" s="24">
        <f t="shared" si="24"/>
        <v>0</v>
      </c>
      <c r="DD18" s="24">
        <f t="shared" si="24"/>
        <v>0</v>
      </c>
      <c r="DE18" s="24"/>
      <c r="DF18" s="24">
        <f t="shared" ref="DF18:DH19" si="25">+X18-CK18</f>
        <v>0</v>
      </c>
      <c r="DG18" s="24">
        <f t="shared" si="25"/>
        <v>0</v>
      </c>
      <c r="DH18" s="24">
        <f t="shared" si="25"/>
        <v>0</v>
      </c>
      <c r="DJ18" s="77"/>
      <c r="DK18" s="77"/>
      <c r="DL18" s="77"/>
      <c r="DM18" s="77"/>
      <c r="DN18" s="77"/>
    </row>
    <row r="19" spans="1:118" ht="28.5" hidden="1" customHeight="1" x14ac:dyDescent="0.25">
      <c r="A19" s="35"/>
      <c r="B19" s="215"/>
      <c r="C19" s="20" t="s">
        <v>83</v>
      </c>
      <c r="D19" s="21" t="s">
        <v>84</v>
      </c>
      <c r="E19" s="22">
        <v>510</v>
      </c>
      <c r="F19" s="23" t="s">
        <v>85</v>
      </c>
      <c r="G19" s="24">
        <f t="shared" si="0"/>
        <v>74942963</v>
      </c>
      <c r="H19" s="24"/>
      <c r="I19" s="24"/>
      <c r="J19" s="24"/>
      <c r="K19" s="24">
        <f>40000000+7942963</f>
        <v>47942963</v>
      </c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>
        <f>21000000+6000000</f>
        <v>27000000</v>
      </c>
      <c r="AA19" s="25">
        <f t="shared" si="1"/>
        <v>0.7770639652985164</v>
      </c>
      <c r="AB19" s="24">
        <f t="shared" si="2"/>
        <v>58235476</v>
      </c>
      <c r="AC19" s="24"/>
      <c r="AD19" s="24"/>
      <c r="AE19" s="24"/>
      <c r="AF19" s="24"/>
      <c r="AG19" s="24">
        <f>+'[4]AGOSTO 2016'!$O$2418</f>
        <v>37235476</v>
      </c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>
        <f>+'[4]AGOSTO 2016'!$AG$2418</f>
        <v>21000000</v>
      </c>
      <c r="AW19" s="25">
        <f t="shared" si="3"/>
        <v>0.2229360347014836</v>
      </c>
      <c r="AX19" s="24">
        <f t="shared" si="4"/>
        <v>16707487</v>
      </c>
      <c r="AY19" s="24">
        <f t="shared" si="21"/>
        <v>0</v>
      </c>
      <c r="AZ19" s="24">
        <f t="shared" si="21"/>
        <v>0</v>
      </c>
      <c r="BA19" s="24">
        <f t="shared" si="21"/>
        <v>0</v>
      </c>
      <c r="BB19" s="24">
        <f>+K19-AG19</f>
        <v>10707487</v>
      </c>
      <c r="BC19" s="24">
        <f t="shared" si="22"/>
        <v>0</v>
      </c>
      <c r="BD19" s="24">
        <f t="shared" si="22"/>
        <v>0</v>
      </c>
      <c r="BE19" s="24">
        <f t="shared" si="22"/>
        <v>0</v>
      </c>
      <c r="BF19" s="24">
        <f t="shared" si="22"/>
        <v>0</v>
      </c>
      <c r="BG19" s="24">
        <f t="shared" si="22"/>
        <v>0</v>
      </c>
      <c r="BH19" s="24">
        <f t="shared" si="22"/>
        <v>0</v>
      </c>
      <c r="BI19" s="24">
        <f t="shared" si="22"/>
        <v>0</v>
      </c>
      <c r="BJ19" s="24">
        <f t="shared" si="22"/>
        <v>0</v>
      </c>
      <c r="BK19" s="24">
        <f t="shared" si="22"/>
        <v>0</v>
      </c>
      <c r="BL19" s="24">
        <f t="shared" si="22"/>
        <v>0</v>
      </c>
      <c r="BM19" s="24">
        <f t="shared" si="22"/>
        <v>0</v>
      </c>
      <c r="BN19" s="24"/>
      <c r="BO19" s="24"/>
      <c r="BP19" s="24">
        <f>Y19-AU19</f>
        <v>0</v>
      </c>
      <c r="BQ19" s="24">
        <f>+Z19-AV19</f>
        <v>6000000</v>
      </c>
      <c r="BR19" s="25">
        <f t="shared" si="10"/>
        <v>0.57968335199130039</v>
      </c>
      <c r="BS19" s="24">
        <f t="shared" si="11"/>
        <v>43443188</v>
      </c>
      <c r="BT19" s="24"/>
      <c r="BU19" s="24"/>
      <c r="BV19" s="24"/>
      <c r="BW19" s="24"/>
      <c r="BX19" s="24">
        <f>+'[1]SEPTIEMBRE 2016'!$H$2843+'[1]SEPTIEMBRE 2016'!$H$2845+'[1]SEPTIEMBRE 2016'!$H$2847+'[1]SEPTIEMBRE 2016'!$H$2849+'[1]SEPTIEMBRE 2016'!$H$2854+'[1]SEPTIEMBRE 2016'!$H$2857</f>
        <v>35730190</v>
      </c>
      <c r="BY19" s="24"/>
      <c r="BZ19" s="24"/>
      <c r="CA19" s="24"/>
      <c r="CB19" s="24"/>
      <c r="CC19" s="24"/>
      <c r="CD19" s="24"/>
      <c r="CE19" s="24"/>
      <c r="CF19" s="24"/>
      <c r="CG19" s="24"/>
      <c r="CH19" s="24"/>
      <c r="CI19" s="24"/>
      <c r="CJ19" s="24"/>
      <c r="CK19" s="24"/>
      <c r="CL19" s="24"/>
      <c r="CM19" s="24">
        <f>+'[1]SEPTIEMBRE 2016'!$H$2860</f>
        <v>7712998</v>
      </c>
      <c r="CN19" s="25">
        <f t="shared" si="12"/>
        <v>0.42031664800869961</v>
      </c>
      <c r="CO19" s="24">
        <f t="shared" si="13"/>
        <v>31499775</v>
      </c>
      <c r="CP19" s="24">
        <f t="shared" si="14"/>
        <v>0</v>
      </c>
      <c r="CQ19" s="24">
        <f t="shared" si="14"/>
        <v>0</v>
      </c>
      <c r="CR19" s="24">
        <f t="shared" si="14"/>
        <v>0</v>
      </c>
      <c r="CS19" s="24">
        <f t="shared" si="14"/>
        <v>12212773</v>
      </c>
      <c r="CT19" s="24">
        <f t="shared" si="14"/>
        <v>0</v>
      </c>
      <c r="CU19" s="24">
        <f t="shared" si="14"/>
        <v>0</v>
      </c>
      <c r="CV19" s="24">
        <f t="shared" si="23"/>
        <v>0</v>
      </c>
      <c r="CW19" s="24">
        <f t="shared" si="23"/>
        <v>0</v>
      </c>
      <c r="CX19" s="24">
        <f t="shared" si="23"/>
        <v>0</v>
      </c>
      <c r="CY19" s="24">
        <f t="shared" si="16"/>
        <v>0</v>
      </c>
      <c r="CZ19" s="24">
        <f t="shared" si="16"/>
        <v>0</v>
      </c>
      <c r="DA19" s="24">
        <f t="shared" si="16"/>
        <v>0</v>
      </c>
      <c r="DB19" s="24">
        <f t="shared" si="24"/>
        <v>0</v>
      </c>
      <c r="DC19" s="24">
        <f t="shared" si="24"/>
        <v>0</v>
      </c>
      <c r="DD19" s="24">
        <f t="shared" si="24"/>
        <v>0</v>
      </c>
      <c r="DE19" s="24"/>
      <c r="DF19" s="24">
        <f t="shared" si="25"/>
        <v>0</v>
      </c>
      <c r="DG19" s="24">
        <f t="shared" si="25"/>
        <v>0</v>
      </c>
      <c r="DH19" s="24">
        <f t="shared" si="25"/>
        <v>19287002</v>
      </c>
      <c r="DJ19" s="77"/>
      <c r="DK19" s="77"/>
      <c r="DL19" s="77"/>
      <c r="DM19" s="77"/>
      <c r="DN19" s="77"/>
    </row>
    <row r="20" spans="1:118" s="43" customFormat="1" ht="17.25" customHeight="1" thickBot="1" x14ac:dyDescent="0.3">
      <c r="A20" s="36"/>
      <c r="B20" s="297" t="s">
        <v>388</v>
      </c>
      <c r="C20" s="298"/>
      <c r="D20" s="298"/>
      <c r="E20" s="299"/>
      <c r="F20" s="37"/>
      <c r="G20" s="38">
        <f t="shared" ref="G20:V20" si="26">SUM(G4:G19)</f>
        <v>1457480977</v>
      </c>
      <c r="H20" s="38">
        <f t="shared" si="26"/>
        <v>0</v>
      </c>
      <c r="I20" s="38">
        <f t="shared" si="26"/>
        <v>450000000</v>
      </c>
      <c r="J20" s="38">
        <f t="shared" si="26"/>
        <v>0</v>
      </c>
      <c r="K20" s="38">
        <f t="shared" si="26"/>
        <v>749568554</v>
      </c>
      <c r="L20" s="38">
        <f t="shared" si="26"/>
        <v>14004396</v>
      </c>
      <c r="M20" s="38">
        <f t="shared" si="26"/>
        <v>0</v>
      </c>
      <c r="N20" s="38">
        <f t="shared" si="26"/>
        <v>0</v>
      </c>
      <c r="O20" s="38">
        <f t="shared" si="26"/>
        <v>0</v>
      </c>
      <c r="P20" s="38">
        <f t="shared" si="26"/>
        <v>0</v>
      </c>
      <c r="Q20" s="38">
        <f t="shared" si="26"/>
        <v>0</v>
      </c>
      <c r="R20" s="38">
        <f t="shared" si="26"/>
        <v>0</v>
      </c>
      <c r="S20" s="38">
        <f t="shared" si="26"/>
        <v>30431446</v>
      </c>
      <c r="T20" s="38">
        <f t="shared" si="26"/>
        <v>1796640</v>
      </c>
      <c r="U20" s="38">
        <f t="shared" si="26"/>
        <v>0</v>
      </c>
      <c r="V20" s="38">
        <f t="shared" si="26"/>
        <v>0</v>
      </c>
      <c r="W20" s="38"/>
      <c r="X20" s="38">
        <f>SUM(X4:X19)</f>
        <v>0</v>
      </c>
      <c r="Y20" s="38">
        <f>SUM(Y4:Y19)</f>
        <v>0</v>
      </c>
      <c r="Z20" s="38">
        <f>SUM(Z4:Z19)</f>
        <v>211679941</v>
      </c>
      <c r="AA20" s="39">
        <f t="shared" si="1"/>
        <v>0.71108679314172618</v>
      </c>
      <c r="AB20" s="40">
        <f>SUM(AB4:AB19)</f>
        <v>1036395474</v>
      </c>
      <c r="AC20" s="40"/>
      <c r="AD20" s="40">
        <f t="shared" ref="AD20:AV20" si="27">SUM(AD4:AD19)</f>
        <v>0</v>
      </c>
      <c r="AE20" s="40">
        <f t="shared" si="27"/>
        <v>152934046</v>
      </c>
      <c r="AF20" s="40">
        <f t="shared" si="27"/>
        <v>0</v>
      </c>
      <c r="AG20" s="40">
        <f t="shared" si="27"/>
        <v>696250590</v>
      </c>
      <c r="AH20" s="40">
        <f t="shared" si="27"/>
        <v>14004396</v>
      </c>
      <c r="AI20" s="40">
        <f t="shared" si="27"/>
        <v>0</v>
      </c>
      <c r="AJ20" s="40">
        <f t="shared" si="27"/>
        <v>0</v>
      </c>
      <c r="AK20" s="40">
        <f t="shared" si="27"/>
        <v>0</v>
      </c>
      <c r="AL20" s="40">
        <f t="shared" si="27"/>
        <v>0</v>
      </c>
      <c r="AM20" s="40">
        <f t="shared" si="27"/>
        <v>0</v>
      </c>
      <c r="AN20" s="40">
        <f t="shared" si="27"/>
        <v>0</v>
      </c>
      <c r="AO20" s="40">
        <f t="shared" si="27"/>
        <v>23188762</v>
      </c>
      <c r="AP20" s="40">
        <f t="shared" si="27"/>
        <v>1796640</v>
      </c>
      <c r="AQ20" s="40">
        <f t="shared" si="27"/>
        <v>0</v>
      </c>
      <c r="AR20" s="40">
        <f t="shared" si="27"/>
        <v>0</v>
      </c>
      <c r="AS20" s="40">
        <f t="shared" si="27"/>
        <v>0</v>
      </c>
      <c r="AT20" s="40">
        <f t="shared" si="27"/>
        <v>0</v>
      </c>
      <c r="AU20" s="40">
        <f t="shared" si="27"/>
        <v>0</v>
      </c>
      <c r="AV20" s="40">
        <f t="shared" si="27"/>
        <v>148221040</v>
      </c>
      <c r="AW20" s="41">
        <f t="shared" si="3"/>
        <v>0.28891320685827382</v>
      </c>
      <c r="AX20" s="40">
        <f t="shared" ref="AX20:BM20" si="28">SUM(AX4:AX19)</f>
        <v>421085503</v>
      </c>
      <c r="AY20" s="40">
        <f t="shared" si="28"/>
        <v>0</v>
      </c>
      <c r="AZ20" s="40">
        <f t="shared" si="28"/>
        <v>297065954</v>
      </c>
      <c r="BA20" s="40">
        <f t="shared" si="28"/>
        <v>0</v>
      </c>
      <c r="BB20" s="40">
        <f t="shared" si="28"/>
        <v>53317964</v>
      </c>
      <c r="BC20" s="40">
        <f t="shared" si="28"/>
        <v>0</v>
      </c>
      <c r="BD20" s="40">
        <f t="shared" si="28"/>
        <v>0</v>
      </c>
      <c r="BE20" s="40">
        <f t="shared" si="28"/>
        <v>0</v>
      </c>
      <c r="BF20" s="40">
        <f t="shared" si="28"/>
        <v>0</v>
      </c>
      <c r="BG20" s="40">
        <f t="shared" si="28"/>
        <v>0</v>
      </c>
      <c r="BH20" s="40">
        <f t="shared" si="28"/>
        <v>0</v>
      </c>
      <c r="BI20" s="40">
        <f t="shared" si="28"/>
        <v>0</v>
      </c>
      <c r="BJ20" s="40">
        <f t="shared" si="28"/>
        <v>7242684</v>
      </c>
      <c r="BK20" s="40">
        <f t="shared" si="28"/>
        <v>0</v>
      </c>
      <c r="BL20" s="40">
        <f t="shared" si="28"/>
        <v>0</v>
      </c>
      <c r="BM20" s="40">
        <f t="shared" si="28"/>
        <v>0</v>
      </c>
      <c r="BN20" s="40"/>
      <c r="BO20" s="40">
        <f>SUM(BO4:BO19)</f>
        <v>0</v>
      </c>
      <c r="BP20" s="40">
        <f>SUM(BP4:BP19)</f>
        <v>0</v>
      </c>
      <c r="BQ20" s="40">
        <f>SUM(BQ4:BQ19)</f>
        <v>63458901</v>
      </c>
      <c r="BR20" s="41">
        <f t="shared" si="10"/>
        <v>0.59736329100643903</v>
      </c>
      <c r="BS20" s="40">
        <f t="shared" ref="BS20:CI20" si="29">SUM(BS4:BS19)</f>
        <v>870645633</v>
      </c>
      <c r="BT20" s="40">
        <f t="shared" si="29"/>
        <v>0</v>
      </c>
      <c r="BU20" s="40">
        <f t="shared" si="29"/>
        <v>0</v>
      </c>
      <c r="BV20" s="40">
        <f t="shared" si="29"/>
        <v>124254160</v>
      </c>
      <c r="BW20" s="40">
        <f t="shared" si="29"/>
        <v>0</v>
      </c>
      <c r="BX20" s="40">
        <f t="shared" si="29"/>
        <v>574306733</v>
      </c>
      <c r="BY20" s="40">
        <f t="shared" si="29"/>
        <v>14004396</v>
      </c>
      <c r="BZ20" s="40">
        <f t="shared" si="29"/>
        <v>0</v>
      </c>
      <c r="CA20" s="40">
        <f t="shared" si="29"/>
        <v>0</v>
      </c>
      <c r="CB20" s="40">
        <f t="shared" si="29"/>
        <v>0</v>
      </c>
      <c r="CC20" s="40">
        <f t="shared" si="29"/>
        <v>0</v>
      </c>
      <c r="CD20" s="40">
        <f t="shared" si="29"/>
        <v>0</v>
      </c>
      <c r="CE20" s="40">
        <f t="shared" si="29"/>
        <v>0</v>
      </c>
      <c r="CF20" s="40">
        <f t="shared" si="29"/>
        <v>23178230</v>
      </c>
      <c r="CG20" s="40">
        <f t="shared" si="29"/>
        <v>1796640</v>
      </c>
      <c r="CH20" s="40">
        <f t="shared" si="29"/>
        <v>0</v>
      </c>
      <c r="CI20" s="40">
        <f t="shared" si="29"/>
        <v>0</v>
      </c>
      <c r="CJ20" s="40"/>
      <c r="CK20" s="40">
        <f>SUM(CK4:CK19)</f>
        <v>0</v>
      </c>
      <c r="CL20" s="40">
        <f>SUM(CL4:CL19)</f>
        <v>0</v>
      </c>
      <c r="CM20" s="40">
        <f>SUM(CM4:CM19)</f>
        <v>133105474</v>
      </c>
      <c r="CN20" s="41">
        <f t="shared" si="12"/>
        <v>0.40263670899356097</v>
      </c>
      <c r="CO20" s="40">
        <f t="shared" ref="CO20:DH20" si="30">SUM(CO4:CO19)</f>
        <v>586835344</v>
      </c>
      <c r="CP20" s="40">
        <f t="shared" si="30"/>
        <v>0</v>
      </c>
      <c r="CQ20" s="40">
        <f t="shared" si="30"/>
        <v>325745840</v>
      </c>
      <c r="CR20" s="40">
        <f t="shared" si="30"/>
        <v>0</v>
      </c>
      <c r="CS20" s="40">
        <f t="shared" si="30"/>
        <v>175261821</v>
      </c>
      <c r="CT20" s="40">
        <f t="shared" si="30"/>
        <v>0</v>
      </c>
      <c r="CU20" s="40">
        <f t="shared" si="30"/>
        <v>0</v>
      </c>
      <c r="CV20" s="40">
        <f t="shared" si="30"/>
        <v>0</v>
      </c>
      <c r="CW20" s="40">
        <f t="shared" si="30"/>
        <v>0</v>
      </c>
      <c r="CX20" s="40">
        <f t="shared" si="30"/>
        <v>0</v>
      </c>
      <c r="CY20" s="40">
        <f t="shared" si="30"/>
        <v>0</v>
      </c>
      <c r="CZ20" s="40">
        <f t="shared" si="30"/>
        <v>0</v>
      </c>
      <c r="DA20" s="40">
        <f t="shared" si="30"/>
        <v>7253216</v>
      </c>
      <c r="DB20" s="40">
        <f t="shared" si="30"/>
        <v>0</v>
      </c>
      <c r="DC20" s="40">
        <f t="shared" si="30"/>
        <v>0</v>
      </c>
      <c r="DD20" s="40">
        <f t="shared" si="30"/>
        <v>0</v>
      </c>
      <c r="DE20" s="40">
        <f t="shared" si="30"/>
        <v>0</v>
      </c>
      <c r="DF20" s="40">
        <f t="shared" si="30"/>
        <v>0</v>
      </c>
      <c r="DG20" s="40">
        <f t="shared" si="30"/>
        <v>0</v>
      </c>
      <c r="DH20" s="42">
        <f t="shared" si="30"/>
        <v>78574467</v>
      </c>
      <c r="DJ20" s="195" t="s">
        <v>405</v>
      </c>
      <c r="DK20" s="195"/>
      <c r="DL20" s="196">
        <f>+G20</f>
        <v>1457480977</v>
      </c>
      <c r="DM20" s="197">
        <f>+BS20</f>
        <v>870645633</v>
      </c>
      <c r="DN20" s="198">
        <f>+BR20</f>
        <v>0.59736329100643903</v>
      </c>
    </row>
    <row r="21" spans="1:118" ht="40.5" hidden="1" customHeight="1" thickTop="1" x14ac:dyDescent="0.25">
      <c r="A21" s="19" t="s">
        <v>87</v>
      </c>
      <c r="B21" s="237" t="s">
        <v>88</v>
      </c>
      <c r="C21" s="20" t="s">
        <v>89</v>
      </c>
      <c r="D21" s="21" t="s">
        <v>90</v>
      </c>
      <c r="E21" s="22">
        <v>410</v>
      </c>
      <c r="F21" s="44" t="s">
        <v>91</v>
      </c>
      <c r="G21" s="24">
        <f t="shared" ref="G21:G59" si="31">SUM(H21:Z21)</f>
        <v>450000000</v>
      </c>
      <c r="H21" s="45"/>
      <c r="I21" s="24">
        <v>450000000</v>
      </c>
      <c r="J21" s="46"/>
      <c r="K21" s="24"/>
      <c r="L21" s="45"/>
      <c r="M21" s="46"/>
      <c r="N21" s="46"/>
      <c r="O21" s="46"/>
      <c r="P21" s="46"/>
      <c r="Q21" s="47"/>
      <c r="R21" s="46"/>
      <c r="S21" s="46"/>
      <c r="T21" s="46"/>
      <c r="U21" s="46"/>
      <c r="V21" s="46"/>
      <c r="W21" s="46"/>
      <c r="X21" s="46"/>
      <c r="Y21" s="46"/>
      <c r="Z21" s="46"/>
      <c r="AA21" s="48">
        <f t="shared" si="1"/>
        <v>0.99897389333333331</v>
      </c>
      <c r="AB21" s="24">
        <f t="shared" ref="AB21:AB59" si="32">SUM(AC21:AV21)</f>
        <v>449538252</v>
      </c>
      <c r="AC21" s="24"/>
      <c r="AD21" s="24"/>
      <c r="AE21" s="24">
        <f>+'[4]AGOSTO 2016'!$M$962</f>
        <v>449538252</v>
      </c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5">
        <f t="shared" si="3"/>
        <v>1.0261066666666929E-3</v>
      </c>
      <c r="AX21" s="24">
        <f t="shared" ref="AX21:AX59" si="33">SUM(AY21:BQ21)</f>
        <v>461748</v>
      </c>
      <c r="AY21" s="24">
        <f t="shared" ref="AY21:BA36" si="34">H21-AD21</f>
        <v>0</v>
      </c>
      <c r="AZ21" s="24">
        <f t="shared" si="34"/>
        <v>461748</v>
      </c>
      <c r="BA21" s="24">
        <f t="shared" si="34"/>
        <v>0</v>
      </c>
      <c r="BB21" s="24">
        <f t="shared" ref="BB21:BM23" si="35">+K21-AG21</f>
        <v>0</v>
      </c>
      <c r="BC21" s="24">
        <f t="shared" si="35"/>
        <v>0</v>
      </c>
      <c r="BD21" s="24">
        <f t="shared" si="35"/>
        <v>0</v>
      </c>
      <c r="BE21" s="24">
        <f t="shared" si="35"/>
        <v>0</v>
      </c>
      <c r="BF21" s="24">
        <f t="shared" si="35"/>
        <v>0</v>
      </c>
      <c r="BG21" s="24">
        <f t="shared" si="35"/>
        <v>0</v>
      </c>
      <c r="BH21" s="24">
        <f t="shared" si="35"/>
        <v>0</v>
      </c>
      <c r="BI21" s="24">
        <f t="shared" si="35"/>
        <v>0</v>
      </c>
      <c r="BJ21" s="24">
        <f t="shared" si="35"/>
        <v>0</v>
      </c>
      <c r="BK21" s="24">
        <f t="shared" si="35"/>
        <v>0</v>
      </c>
      <c r="BL21" s="24">
        <f t="shared" si="35"/>
        <v>0</v>
      </c>
      <c r="BM21" s="24">
        <f t="shared" si="35"/>
        <v>0</v>
      </c>
      <c r="BN21" s="24"/>
      <c r="BO21" s="24"/>
      <c r="BP21" s="24"/>
      <c r="BQ21" s="24">
        <f>+Z21-AV21</f>
        <v>0</v>
      </c>
      <c r="BR21" s="25">
        <f t="shared" si="10"/>
        <v>0.99897389333333331</v>
      </c>
      <c r="BS21" s="24">
        <f t="shared" ref="BS21:BS59" si="36">SUM(BT21:CM21)</f>
        <v>449538252</v>
      </c>
      <c r="BT21" s="24"/>
      <c r="BU21" s="24"/>
      <c r="BV21" s="24">
        <f>+'[1]SEPTIEMBRE 2016'!$H$1163</f>
        <v>449538252</v>
      </c>
      <c r="BW21" s="24"/>
      <c r="BX21" s="24"/>
      <c r="BY21" s="24"/>
      <c r="BZ21" s="24"/>
      <c r="CA21" s="24"/>
      <c r="CB21" s="24"/>
      <c r="CC21" s="24"/>
      <c r="CD21" s="24"/>
      <c r="CE21" s="24"/>
      <c r="CF21" s="24"/>
      <c r="CG21" s="24"/>
      <c r="CH21" s="24"/>
      <c r="CI21" s="24"/>
      <c r="CJ21" s="24"/>
      <c r="CK21" s="24"/>
      <c r="CL21" s="24"/>
      <c r="CM21" s="24"/>
      <c r="CN21" s="25">
        <f t="shared" si="12"/>
        <v>1.0261066666666929E-3</v>
      </c>
      <c r="CO21" s="24">
        <f t="shared" ref="CO21:CO59" si="37">SUM(CP21:DH21)</f>
        <v>461748</v>
      </c>
      <c r="CP21" s="24">
        <f t="shared" ref="CP21:CU36" si="38">H21-BU21</f>
        <v>0</v>
      </c>
      <c r="CQ21" s="24">
        <f t="shared" si="38"/>
        <v>461748</v>
      </c>
      <c r="CR21" s="24">
        <f t="shared" si="38"/>
        <v>0</v>
      </c>
      <c r="CS21" s="24">
        <f t="shared" si="38"/>
        <v>0</v>
      </c>
      <c r="CT21" s="24">
        <f t="shared" si="38"/>
        <v>0</v>
      </c>
      <c r="CU21" s="24">
        <f t="shared" si="38"/>
        <v>0</v>
      </c>
      <c r="CV21" s="24">
        <f t="shared" ref="CV21:CX23" si="39">+N21-CA21</f>
        <v>0</v>
      </c>
      <c r="CW21" s="24">
        <f t="shared" si="39"/>
        <v>0</v>
      </c>
      <c r="CX21" s="24">
        <f t="shared" si="39"/>
        <v>0</v>
      </c>
      <c r="CY21" s="24">
        <f t="shared" ref="CY21:DA23" si="40">Q21-CD21</f>
        <v>0</v>
      </c>
      <c r="CZ21" s="24">
        <f t="shared" si="40"/>
        <v>0</v>
      </c>
      <c r="DA21" s="24">
        <f t="shared" si="40"/>
        <v>0</v>
      </c>
      <c r="DB21" s="24">
        <f t="shared" ref="DB21:DD23" si="41">+T21-CG21</f>
        <v>0</v>
      </c>
      <c r="DC21" s="24">
        <f t="shared" si="41"/>
        <v>0</v>
      </c>
      <c r="DD21" s="24">
        <f t="shared" si="41"/>
        <v>0</v>
      </c>
      <c r="DE21" s="24"/>
      <c r="DF21" s="24">
        <f t="shared" ref="DF21:DH23" si="42">+X21-CK21</f>
        <v>0</v>
      </c>
      <c r="DG21" s="24">
        <f t="shared" si="42"/>
        <v>0</v>
      </c>
      <c r="DH21" s="24">
        <f t="shared" si="42"/>
        <v>0</v>
      </c>
      <c r="DJ21" s="77"/>
      <c r="DK21" s="77"/>
      <c r="DL21" s="196">
        <f t="shared" ref="DL21:DL84" si="43">+G21</f>
        <v>450000000</v>
      </c>
      <c r="DM21" s="197">
        <f t="shared" ref="DM21:DM84" si="44">+BS21</f>
        <v>449538252</v>
      </c>
      <c r="DN21" s="77"/>
    </row>
    <row r="22" spans="1:118" ht="48.75" hidden="1" customHeight="1" x14ac:dyDescent="0.25">
      <c r="A22" s="30"/>
      <c r="B22" s="232"/>
      <c r="C22" s="20" t="s">
        <v>92</v>
      </c>
      <c r="D22" s="21" t="s">
        <v>93</v>
      </c>
      <c r="E22" s="22">
        <v>410</v>
      </c>
      <c r="F22" s="23" t="s">
        <v>91</v>
      </c>
      <c r="G22" s="24">
        <f t="shared" si="31"/>
        <v>150000000</v>
      </c>
      <c r="H22" s="24"/>
      <c r="I22" s="24">
        <v>150000000</v>
      </c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5">
        <f t="shared" si="1"/>
        <v>0.99787351999999996</v>
      </c>
      <c r="AB22" s="24">
        <f t="shared" si="32"/>
        <v>149681028</v>
      </c>
      <c r="AC22" s="24"/>
      <c r="AD22" s="24"/>
      <c r="AE22" s="24">
        <f>+'[1]SEPTIEMBRE 2016'!$M$1182</f>
        <v>149681028</v>
      </c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5">
        <f t="shared" si="3"/>
        <v>2.1264800000000417E-3</v>
      </c>
      <c r="AX22" s="24">
        <f t="shared" si="33"/>
        <v>318972</v>
      </c>
      <c r="AY22" s="24">
        <f t="shared" si="34"/>
        <v>0</v>
      </c>
      <c r="AZ22" s="24">
        <f t="shared" si="34"/>
        <v>318972</v>
      </c>
      <c r="BA22" s="24">
        <f t="shared" si="34"/>
        <v>0</v>
      </c>
      <c r="BB22" s="24">
        <f t="shared" si="35"/>
        <v>0</v>
      </c>
      <c r="BC22" s="24">
        <f t="shared" si="35"/>
        <v>0</v>
      </c>
      <c r="BD22" s="24">
        <f t="shared" si="35"/>
        <v>0</v>
      </c>
      <c r="BE22" s="24">
        <f t="shared" si="35"/>
        <v>0</v>
      </c>
      <c r="BF22" s="24">
        <f t="shared" si="35"/>
        <v>0</v>
      </c>
      <c r="BG22" s="24">
        <f t="shared" si="35"/>
        <v>0</v>
      </c>
      <c r="BH22" s="24">
        <f t="shared" si="35"/>
        <v>0</v>
      </c>
      <c r="BI22" s="24">
        <f t="shared" si="35"/>
        <v>0</v>
      </c>
      <c r="BJ22" s="24">
        <f t="shared" si="35"/>
        <v>0</v>
      </c>
      <c r="BK22" s="24">
        <f t="shared" si="35"/>
        <v>0</v>
      </c>
      <c r="BL22" s="24">
        <f t="shared" si="35"/>
        <v>0</v>
      </c>
      <c r="BM22" s="24">
        <f t="shared" si="35"/>
        <v>0</v>
      </c>
      <c r="BN22" s="24"/>
      <c r="BO22" s="24"/>
      <c r="BP22" s="24"/>
      <c r="BQ22" s="24">
        <f>+Z22-AV22</f>
        <v>0</v>
      </c>
      <c r="BR22" s="25">
        <f t="shared" si="10"/>
        <v>0.99258345333333331</v>
      </c>
      <c r="BS22" s="24">
        <f t="shared" si="36"/>
        <v>148887518</v>
      </c>
      <c r="BT22" s="24"/>
      <c r="BU22" s="24"/>
      <c r="BV22" s="24">
        <f>+'[1]SEPTIEMBRE 2016'!$H$1180</f>
        <v>148887518</v>
      </c>
      <c r="BW22" s="24"/>
      <c r="BX22" s="24"/>
      <c r="BY22" s="24"/>
      <c r="BZ22" s="24"/>
      <c r="CA22" s="24"/>
      <c r="CB22" s="24"/>
      <c r="CC22" s="24"/>
      <c r="CD22" s="24"/>
      <c r="CE22" s="24"/>
      <c r="CF22" s="24"/>
      <c r="CG22" s="24"/>
      <c r="CH22" s="24"/>
      <c r="CI22" s="24"/>
      <c r="CJ22" s="24"/>
      <c r="CK22" s="24"/>
      <c r="CL22" s="24"/>
      <c r="CM22" s="24"/>
      <c r="CN22" s="25">
        <f t="shared" si="12"/>
        <v>7.4165466666666902E-3</v>
      </c>
      <c r="CO22" s="24">
        <f t="shared" si="37"/>
        <v>1112482</v>
      </c>
      <c r="CP22" s="24">
        <f t="shared" si="38"/>
        <v>0</v>
      </c>
      <c r="CQ22" s="24">
        <f t="shared" si="38"/>
        <v>1112482</v>
      </c>
      <c r="CR22" s="24">
        <f t="shared" si="38"/>
        <v>0</v>
      </c>
      <c r="CS22" s="24">
        <f t="shared" si="38"/>
        <v>0</v>
      </c>
      <c r="CT22" s="24">
        <f t="shared" si="38"/>
        <v>0</v>
      </c>
      <c r="CU22" s="24">
        <f t="shared" si="38"/>
        <v>0</v>
      </c>
      <c r="CV22" s="24">
        <f t="shared" si="39"/>
        <v>0</v>
      </c>
      <c r="CW22" s="24">
        <f t="shared" si="39"/>
        <v>0</v>
      </c>
      <c r="CX22" s="24">
        <f t="shared" si="39"/>
        <v>0</v>
      </c>
      <c r="CY22" s="24">
        <f t="shared" si="40"/>
        <v>0</v>
      </c>
      <c r="CZ22" s="24">
        <f t="shared" si="40"/>
        <v>0</v>
      </c>
      <c r="DA22" s="24">
        <f t="shared" si="40"/>
        <v>0</v>
      </c>
      <c r="DB22" s="24">
        <f t="shared" si="41"/>
        <v>0</v>
      </c>
      <c r="DC22" s="24">
        <f t="shared" si="41"/>
        <v>0</v>
      </c>
      <c r="DD22" s="24">
        <f t="shared" si="41"/>
        <v>0</v>
      </c>
      <c r="DE22" s="24"/>
      <c r="DF22" s="24">
        <f t="shared" si="42"/>
        <v>0</v>
      </c>
      <c r="DG22" s="24">
        <f t="shared" si="42"/>
        <v>0</v>
      </c>
      <c r="DH22" s="24">
        <f t="shared" si="42"/>
        <v>0</v>
      </c>
      <c r="DJ22" s="77"/>
      <c r="DK22" s="77"/>
      <c r="DL22" s="196">
        <f t="shared" si="43"/>
        <v>150000000</v>
      </c>
      <c r="DM22" s="197">
        <f t="shared" si="44"/>
        <v>148887518</v>
      </c>
      <c r="DN22" s="77"/>
    </row>
    <row r="23" spans="1:118" ht="33.75" hidden="1" customHeight="1" x14ac:dyDescent="0.25">
      <c r="A23" s="30"/>
      <c r="B23" s="233"/>
      <c r="C23" s="20" t="s">
        <v>94</v>
      </c>
      <c r="D23" s="21" t="s">
        <v>95</v>
      </c>
      <c r="E23" s="22">
        <v>410</v>
      </c>
      <c r="F23" s="23" t="s">
        <v>91</v>
      </c>
      <c r="G23" s="24">
        <f t="shared" si="31"/>
        <v>884325162</v>
      </c>
      <c r="H23" s="24"/>
      <c r="I23" s="24">
        <f>200000000+400000000+39616700+228708462</f>
        <v>868325162</v>
      </c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>
        <v>16000000</v>
      </c>
      <c r="AA23" s="25">
        <f t="shared" si="1"/>
        <v>0.99038815091410914</v>
      </c>
      <c r="AB23" s="24">
        <f t="shared" si="32"/>
        <v>875825162</v>
      </c>
      <c r="AC23" s="24"/>
      <c r="AD23" s="24"/>
      <c r="AE23" s="24">
        <f>+'[1]SEPTIEMBRE 2016'!$M$1198</f>
        <v>868325162</v>
      </c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>
        <f>+'[1]SEPTIEMBRE 2016'!$AG$1198</f>
        <v>7500000</v>
      </c>
      <c r="AW23" s="25">
        <f t="shared" si="3"/>
        <v>9.6118490858908556E-3</v>
      </c>
      <c r="AX23" s="24">
        <f t="shared" si="33"/>
        <v>8500000</v>
      </c>
      <c r="AY23" s="24">
        <f t="shared" si="34"/>
        <v>0</v>
      </c>
      <c r="AZ23" s="24">
        <f t="shared" si="34"/>
        <v>0</v>
      </c>
      <c r="BA23" s="24">
        <f t="shared" si="34"/>
        <v>0</v>
      </c>
      <c r="BB23" s="24">
        <f t="shared" si="35"/>
        <v>0</v>
      </c>
      <c r="BC23" s="24">
        <f t="shared" si="35"/>
        <v>0</v>
      </c>
      <c r="BD23" s="24">
        <f t="shared" si="35"/>
        <v>0</v>
      </c>
      <c r="BE23" s="24">
        <f t="shared" si="35"/>
        <v>0</v>
      </c>
      <c r="BF23" s="24">
        <f t="shared" si="35"/>
        <v>0</v>
      </c>
      <c r="BG23" s="24">
        <f t="shared" si="35"/>
        <v>0</v>
      </c>
      <c r="BH23" s="24">
        <f t="shared" si="35"/>
        <v>0</v>
      </c>
      <c r="BI23" s="24">
        <f t="shared" si="35"/>
        <v>0</v>
      </c>
      <c r="BJ23" s="24">
        <f t="shared" si="35"/>
        <v>0</v>
      </c>
      <c r="BK23" s="24">
        <f t="shared" si="35"/>
        <v>0</v>
      </c>
      <c r="BL23" s="24">
        <f t="shared" si="35"/>
        <v>0</v>
      </c>
      <c r="BM23" s="24">
        <f t="shared" si="35"/>
        <v>0</v>
      </c>
      <c r="BN23" s="24"/>
      <c r="BO23" s="24"/>
      <c r="BP23" s="24"/>
      <c r="BQ23" s="24">
        <f>+Z23-AV23</f>
        <v>8500000</v>
      </c>
      <c r="BR23" s="25">
        <f t="shared" si="10"/>
        <v>0.34404908180142907</v>
      </c>
      <c r="BS23" s="24">
        <f t="shared" si="36"/>
        <v>304251260</v>
      </c>
      <c r="BT23" s="24"/>
      <c r="BU23" s="24"/>
      <c r="BV23" s="24">
        <f>+'[1]SEPTIEMBRE 2016'!$H$1196-CM23</f>
        <v>296751260</v>
      </c>
      <c r="BW23" s="24"/>
      <c r="BX23" s="24"/>
      <c r="BY23" s="24"/>
      <c r="BZ23" s="24"/>
      <c r="CA23" s="24"/>
      <c r="CB23" s="24"/>
      <c r="CC23" s="24"/>
      <c r="CD23" s="24"/>
      <c r="CE23" s="24"/>
      <c r="CF23" s="24"/>
      <c r="CG23" s="24"/>
      <c r="CH23" s="24"/>
      <c r="CI23" s="24"/>
      <c r="CJ23" s="24"/>
      <c r="CK23" s="24"/>
      <c r="CL23" s="24"/>
      <c r="CM23" s="24">
        <v>7500000</v>
      </c>
      <c r="CN23" s="25">
        <f t="shared" si="12"/>
        <v>0.65595091819857099</v>
      </c>
      <c r="CO23" s="24">
        <f t="shared" si="37"/>
        <v>580073902</v>
      </c>
      <c r="CP23" s="24">
        <f t="shared" si="38"/>
        <v>0</v>
      </c>
      <c r="CQ23" s="24">
        <f t="shared" si="38"/>
        <v>571573902</v>
      </c>
      <c r="CR23" s="24">
        <f t="shared" si="38"/>
        <v>0</v>
      </c>
      <c r="CS23" s="24">
        <f t="shared" si="38"/>
        <v>0</v>
      </c>
      <c r="CT23" s="24">
        <f t="shared" si="38"/>
        <v>0</v>
      </c>
      <c r="CU23" s="24">
        <f t="shared" si="38"/>
        <v>0</v>
      </c>
      <c r="CV23" s="24">
        <f t="shared" si="39"/>
        <v>0</v>
      </c>
      <c r="CW23" s="24">
        <f t="shared" si="39"/>
        <v>0</v>
      </c>
      <c r="CX23" s="24">
        <f t="shared" si="39"/>
        <v>0</v>
      </c>
      <c r="CY23" s="24">
        <f t="shared" si="40"/>
        <v>0</v>
      </c>
      <c r="CZ23" s="24">
        <f t="shared" si="40"/>
        <v>0</v>
      </c>
      <c r="DA23" s="24">
        <f t="shared" si="40"/>
        <v>0</v>
      </c>
      <c r="DB23" s="24">
        <f t="shared" si="41"/>
        <v>0</v>
      </c>
      <c r="DC23" s="24">
        <f t="shared" si="41"/>
        <v>0</v>
      </c>
      <c r="DD23" s="24">
        <f t="shared" si="41"/>
        <v>0</v>
      </c>
      <c r="DE23" s="24"/>
      <c r="DF23" s="24">
        <f t="shared" si="42"/>
        <v>0</v>
      </c>
      <c r="DG23" s="24">
        <f t="shared" si="42"/>
        <v>0</v>
      </c>
      <c r="DH23" s="24">
        <f t="shared" si="42"/>
        <v>8500000</v>
      </c>
      <c r="DJ23" s="77"/>
      <c r="DK23" s="77"/>
      <c r="DL23" s="196">
        <f t="shared" si="43"/>
        <v>884325162</v>
      </c>
      <c r="DM23" s="197">
        <f t="shared" si="44"/>
        <v>304251260</v>
      </c>
      <c r="DN23" s="77"/>
    </row>
    <row r="24" spans="1:118" ht="46.5" hidden="1" customHeight="1" x14ac:dyDescent="0.25">
      <c r="A24" s="30"/>
      <c r="B24" s="49"/>
      <c r="C24" s="20" t="s">
        <v>96</v>
      </c>
      <c r="D24" s="21" t="s">
        <v>97</v>
      </c>
      <c r="E24" s="22">
        <v>410</v>
      </c>
      <c r="F24" s="23" t="s">
        <v>91</v>
      </c>
      <c r="G24" s="24">
        <f t="shared" si="31"/>
        <v>50000000</v>
      </c>
      <c r="H24" s="24"/>
      <c r="I24" s="24">
        <v>50000000</v>
      </c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5">
        <f t="shared" si="1"/>
        <v>0.58499999999999996</v>
      </c>
      <c r="AB24" s="24">
        <f t="shared" si="32"/>
        <v>29250000</v>
      </c>
      <c r="AC24" s="24"/>
      <c r="AD24" s="24"/>
      <c r="AE24" s="24">
        <f>+'[1]SEPTIEMBRE 2016'!$M$1257</f>
        <v>29250000</v>
      </c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5">
        <f t="shared" si="3"/>
        <v>0.41500000000000004</v>
      </c>
      <c r="AX24" s="24">
        <f t="shared" si="33"/>
        <v>20750000</v>
      </c>
      <c r="AY24" s="24"/>
      <c r="AZ24" s="24">
        <f t="shared" si="34"/>
        <v>20750000</v>
      </c>
      <c r="BA24" s="24"/>
      <c r="BB24" s="24"/>
      <c r="BC24" s="24"/>
      <c r="BD24" s="24"/>
      <c r="BE24" s="24"/>
      <c r="BF24" s="24"/>
      <c r="BG24" s="24"/>
      <c r="BH24" s="24"/>
      <c r="BI24" s="24"/>
      <c r="BJ24" s="24"/>
      <c r="BK24" s="24"/>
      <c r="BL24" s="24"/>
      <c r="BM24" s="24"/>
      <c r="BN24" s="24"/>
      <c r="BO24" s="24"/>
      <c r="BP24" s="24"/>
      <c r="BQ24" s="24"/>
      <c r="BR24" s="25">
        <f t="shared" si="10"/>
        <v>0.58499999999999996</v>
      </c>
      <c r="BS24" s="24">
        <f t="shared" si="36"/>
        <v>29250000</v>
      </c>
      <c r="BT24" s="24"/>
      <c r="BU24" s="24"/>
      <c r="BV24" s="24">
        <f>+'[1]SEPTIEMBRE 2016'!$H$1255</f>
        <v>29250000</v>
      </c>
      <c r="BW24" s="24"/>
      <c r="BX24" s="24"/>
      <c r="BY24" s="24"/>
      <c r="BZ24" s="24"/>
      <c r="CA24" s="24"/>
      <c r="CB24" s="24"/>
      <c r="CC24" s="24"/>
      <c r="CD24" s="24"/>
      <c r="CE24" s="24"/>
      <c r="CF24" s="24"/>
      <c r="CG24" s="24"/>
      <c r="CH24" s="24"/>
      <c r="CI24" s="24"/>
      <c r="CJ24" s="24"/>
      <c r="CK24" s="24"/>
      <c r="CL24" s="24"/>
      <c r="CM24" s="24"/>
      <c r="CN24" s="25">
        <f t="shared" si="12"/>
        <v>0.41500000000000004</v>
      </c>
      <c r="CO24" s="24">
        <f t="shared" si="37"/>
        <v>20750000</v>
      </c>
      <c r="CP24" s="24"/>
      <c r="CQ24" s="24">
        <f t="shared" si="38"/>
        <v>20750000</v>
      </c>
      <c r="CR24" s="24"/>
      <c r="CS24" s="24"/>
      <c r="CT24" s="24"/>
      <c r="CU24" s="24"/>
      <c r="CV24" s="24"/>
      <c r="CW24" s="24"/>
      <c r="CX24" s="24"/>
      <c r="CY24" s="24"/>
      <c r="CZ24" s="24"/>
      <c r="DA24" s="24"/>
      <c r="DB24" s="24"/>
      <c r="DC24" s="24"/>
      <c r="DD24" s="24"/>
      <c r="DE24" s="24"/>
      <c r="DF24" s="24"/>
      <c r="DG24" s="24"/>
      <c r="DH24" s="24"/>
      <c r="DJ24" s="77"/>
      <c r="DK24" s="77"/>
      <c r="DL24" s="196">
        <f t="shared" si="43"/>
        <v>50000000</v>
      </c>
      <c r="DM24" s="197">
        <f t="shared" si="44"/>
        <v>29250000</v>
      </c>
      <c r="DN24" s="77"/>
    </row>
    <row r="25" spans="1:118" ht="48" hidden="1" customHeight="1" x14ac:dyDescent="0.25">
      <c r="A25" s="30"/>
      <c r="B25" s="49"/>
      <c r="C25" s="20" t="s">
        <v>98</v>
      </c>
      <c r="D25" s="21" t="s">
        <v>99</v>
      </c>
      <c r="E25" s="22">
        <v>410</v>
      </c>
      <c r="F25" s="23" t="s">
        <v>91</v>
      </c>
      <c r="G25" s="24">
        <f t="shared" si="31"/>
        <v>250000000</v>
      </c>
      <c r="H25" s="24"/>
      <c r="I25" s="24">
        <v>250000000</v>
      </c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5">
        <f t="shared" si="1"/>
        <v>1.618752E-2</v>
      </c>
      <c r="AB25" s="24">
        <f t="shared" si="32"/>
        <v>4046880</v>
      </c>
      <c r="AC25" s="24"/>
      <c r="AD25" s="24"/>
      <c r="AE25" s="24">
        <f>+'[1]SEPTIEMBRE 2016'!$M$1267</f>
        <v>4046880</v>
      </c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5">
        <f t="shared" si="3"/>
        <v>0.98381247999999999</v>
      </c>
      <c r="AX25" s="24">
        <f t="shared" si="33"/>
        <v>245953120</v>
      </c>
      <c r="AY25" s="24"/>
      <c r="AZ25" s="24">
        <f t="shared" si="34"/>
        <v>245953120</v>
      </c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5">
        <f t="shared" si="10"/>
        <v>0</v>
      </c>
      <c r="BS25" s="24">
        <f t="shared" si="36"/>
        <v>0</v>
      </c>
      <c r="BT25" s="24"/>
      <c r="BU25" s="24"/>
      <c r="BV25" s="24"/>
      <c r="BW25" s="24"/>
      <c r="BX25" s="24"/>
      <c r="BY25" s="24"/>
      <c r="BZ25" s="24"/>
      <c r="CA25" s="24"/>
      <c r="CB25" s="24"/>
      <c r="CC25" s="24"/>
      <c r="CD25" s="24"/>
      <c r="CE25" s="24"/>
      <c r="CF25" s="24"/>
      <c r="CG25" s="24"/>
      <c r="CH25" s="24"/>
      <c r="CI25" s="24"/>
      <c r="CJ25" s="24"/>
      <c r="CK25" s="24"/>
      <c r="CL25" s="24"/>
      <c r="CM25" s="24"/>
      <c r="CN25" s="25">
        <f t="shared" si="12"/>
        <v>1</v>
      </c>
      <c r="CO25" s="24">
        <f t="shared" si="37"/>
        <v>250000000</v>
      </c>
      <c r="CP25" s="24"/>
      <c r="CQ25" s="24">
        <f t="shared" si="38"/>
        <v>250000000</v>
      </c>
      <c r="CR25" s="24"/>
      <c r="CS25" s="24"/>
      <c r="CT25" s="24"/>
      <c r="CU25" s="24"/>
      <c r="CV25" s="24"/>
      <c r="CW25" s="24"/>
      <c r="CX25" s="24"/>
      <c r="CY25" s="24"/>
      <c r="CZ25" s="24"/>
      <c r="DA25" s="24"/>
      <c r="DB25" s="24"/>
      <c r="DC25" s="24"/>
      <c r="DD25" s="24"/>
      <c r="DE25" s="24"/>
      <c r="DF25" s="24"/>
      <c r="DG25" s="24"/>
      <c r="DH25" s="24"/>
      <c r="DJ25" s="77"/>
      <c r="DK25" s="77"/>
      <c r="DL25" s="196">
        <f t="shared" si="43"/>
        <v>250000000</v>
      </c>
      <c r="DM25" s="197">
        <f t="shared" si="44"/>
        <v>0</v>
      </c>
      <c r="DN25" s="77"/>
    </row>
    <row r="26" spans="1:118" ht="36" hidden="1" customHeight="1" x14ac:dyDescent="0.25">
      <c r="A26" s="30"/>
      <c r="B26" s="231" t="s">
        <v>100</v>
      </c>
      <c r="C26" s="50" t="s">
        <v>101</v>
      </c>
      <c r="D26" s="21" t="s">
        <v>102</v>
      </c>
      <c r="E26" s="22">
        <v>410</v>
      </c>
      <c r="F26" s="23" t="s">
        <v>91</v>
      </c>
      <c r="G26" s="24">
        <f t="shared" si="31"/>
        <v>10000000</v>
      </c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>
        <v>10000000</v>
      </c>
      <c r="V26" s="24"/>
      <c r="W26" s="24"/>
      <c r="X26" s="24"/>
      <c r="Y26" s="24"/>
      <c r="Z26" s="24"/>
      <c r="AA26" s="25">
        <f t="shared" si="1"/>
        <v>7.0000000000000007E-2</v>
      </c>
      <c r="AB26" s="24">
        <f t="shared" si="32"/>
        <v>700000</v>
      </c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>
        <f>+'[5]JULIO 2016'!$Y$889</f>
        <v>700000</v>
      </c>
      <c r="AR26" s="24"/>
      <c r="AS26" s="24"/>
      <c r="AT26" s="24"/>
      <c r="AU26" s="24"/>
      <c r="AV26" s="24"/>
      <c r="AW26" s="25">
        <f t="shared" si="3"/>
        <v>0.92999999999999994</v>
      </c>
      <c r="AX26" s="24">
        <f t="shared" si="33"/>
        <v>9300000</v>
      </c>
      <c r="AY26" s="24">
        <f t="shared" ref="AY26:BM59" si="45">H26-AD26</f>
        <v>0</v>
      </c>
      <c r="AZ26" s="24">
        <f t="shared" si="34"/>
        <v>0</v>
      </c>
      <c r="BA26" s="24">
        <f t="shared" si="34"/>
        <v>0</v>
      </c>
      <c r="BB26" s="24">
        <f t="shared" ref="BB26:BM37" si="46">+K26-AG26</f>
        <v>0</v>
      </c>
      <c r="BC26" s="24">
        <f t="shared" si="46"/>
        <v>0</v>
      </c>
      <c r="BD26" s="24">
        <f t="shared" si="46"/>
        <v>0</v>
      </c>
      <c r="BE26" s="24">
        <f t="shared" si="46"/>
        <v>0</v>
      </c>
      <c r="BF26" s="24">
        <f t="shared" si="46"/>
        <v>0</v>
      </c>
      <c r="BG26" s="24">
        <f t="shared" si="46"/>
        <v>0</v>
      </c>
      <c r="BH26" s="24">
        <f t="shared" si="46"/>
        <v>0</v>
      </c>
      <c r="BI26" s="24">
        <f t="shared" si="46"/>
        <v>0</v>
      </c>
      <c r="BJ26" s="24">
        <f t="shared" si="46"/>
        <v>0</v>
      </c>
      <c r="BK26" s="24">
        <f t="shared" si="46"/>
        <v>0</v>
      </c>
      <c r="BL26" s="24">
        <f t="shared" si="46"/>
        <v>9300000</v>
      </c>
      <c r="BM26" s="24">
        <f t="shared" si="46"/>
        <v>0</v>
      </c>
      <c r="BN26" s="24"/>
      <c r="BO26" s="24"/>
      <c r="BP26" s="24"/>
      <c r="BQ26" s="24">
        <f t="shared" ref="BQ26:BQ37" si="47">+Z26-AV26</f>
        <v>0</v>
      </c>
      <c r="BR26" s="25">
        <f t="shared" si="10"/>
        <v>7.0000000000000007E-2</v>
      </c>
      <c r="BS26" s="24">
        <f t="shared" si="36"/>
        <v>700000</v>
      </c>
      <c r="BT26" s="24"/>
      <c r="BU26" s="24"/>
      <c r="BV26" s="24"/>
      <c r="BW26" s="24"/>
      <c r="BX26" s="24"/>
      <c r="BY26" s="24"/>
      <c r="BZ26" s="24"/>
      <c r="CA26" s="24"/>
      <c r="CB26" s="24"/>
      <c r="CC26" s="24"/>
      <c r="CD26" s="24"/>
      <c r="CE26" s="24"/>
      <c r="CF26" s="24"/>
      <c r="CG26" s="24"/>
      <c r="CH26" s="24">
        <f>+'[5]JULIO 2016'!$H$887</f>
        <v>700000</v>
      </c>
      <c r="CI26" s="24"/>
      <c r="CJ26" s="24"/>
      <c r="CK26" s="24"/>
      <c r="CL26" s="24"/>
      <c r="CM26" s="24"/>
      <c r="CN26" s="25">
        <f t="shared" si="12"/>
        <v>0.92999999999999994</v>
      </c>
      <c r="CO26" s="24">
        <f t="shared" si="37"/>
        <v>9300000</v>
      </c>
      <c r="CP26" s="24">
        <f t="shared" ref="CP26:CU59" si="48">H26-BU26</f>
        <v>0</v>
      </c>
      <c r="CQ26" s="24">
        <f t="shared" si="38"/>
        <v>0</v>
      </c>
      <c r="CR26" s="24">
        <f t="shared" si="38"/>
        <v>0</v>
      </c>
      <c r="CS26" s="24">
        <f t="shared" si="38"/>
        <v>0</v>
      </c>
      <c r="CT26" s="24">
        <f t="shared" si="38"/>
        <v>0</v>
      </c>
      <c r="CU26" s="24">
        <f t="shared" si="38"/>
        <v>0</v>
      </c>
      <c r="CV26" s="24">
        <f t="shared" ref="CV26:CX37" si="49">+N26-CA26</f>
        <v>0</v>
      </c>
      <c r="CW26" s="24">
        <f t="shared" si="49"/>
        <v>0</v>
      </c>
      <c r="CX26" s="24">
        <f t="shared" si="49"/>
        <v>0</v>
      </c>
      <c r="CY26" s="24">
        <f t="shared" ref="CY26:DD47" si="50">Q26-CD26</f>
        <v>0</v>
      </c>
      <c r="CZ26" s="24">
        <f t="shared" si="50"/>
        <v>0</v>
      </c>
      <c r="DA26" s="24">
        <f t="shared" si="50"/>
        <v>0</v>
      </c>
      <c r="DB26" s="24">
        <f t="shared" ref="DB26:DD31" si="51">+T26-CG26</f>
        <v>0</v>
      </c>
      <c r="DC26" s="24">
        <f t="shared" si="51"/>
        <v>9300000</v>
      </c>
      <c r="DD26" s="24">
        <f t="shared" si="51"/>
        <v>0</v>
      </c>
      <c r="DE26" s="24"/>
      <c r="DF26" s="24">
        <f t="shared" ref="DF26:DH31" si="52">+X26-CK26</f>
        <v>0</v>
      </c>
      <c r="DG26" s="24">
        <f t="shared" si="52"/>
        <v>0</v>
      </c>
      <c r="DH26" s="24">
        <f t="shared" si="52"/>
        <v>0</v>
      </c>
      <c r="DJ26" s="77"/>
      <c r="DK26" s="77"/>
      <c r="DL26" s="196">
        <f t="shared" si="43"/>
        <v>10000000</v>
      </c>
      <c r="DM26" s="197">
        <f t="shared" si="44"/>
        <v>700000</v>
      </c>
      <c r="DN26" s="77"/>
    </row>
    <row r="27" spans="1:118" ht="33" hidden="1" customHeight="1" x14ac:dyDescent="0.25">
      <c r="A27" s="30"/>
      <c r="B27" s="232"/>
      <c r="C27" s="20" t="s">
        <v>103</v>
      </c>
      <c r="D27" s="21" t="s">
        <v>104</v>
      </c>
      <c r="E27" s="22">
        <v>410</v>
      </c>
      <c r="F27" s="23" t="s">
        <v>105</v>
      </c>
      <c r="G27" s="24">
        <f>SUM(H27:Z27)</f>
        <v>10000000</v>
      </c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>
        <v>10000000</v>
      </c>
      <c r="V27" s="24"/>
      <c r="W27" s="24"/>
      <c r="X27" s="24"/>
      <c r="Y27" s="24"/>
      <c r="Z27" s="24"/>
      <c r="AA27" s="25">
        <f t="shared" si="1"/>
        <v>1</v>
      </c>
      <c r="AB27" s="24">
        <f t="shared" si="32"/>
        <v>10000000</v>
      </c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>
        <f>+'[8]ABRIL 2016'!$Y$572</f>
        <v>10000000</v>
      </c>
      <c r="AR27" s="24"/>
      <c r="AS27" s="24"/>
      <c r="AT27" s="24"/>
      <c r="AU27" s="24"/>
      <c r="AV27" s="24"/>
      <c r="AW27" s="25">
        <f t="shared" si="3"/>
        <v>0</v>
      </c>
      <c r="AX27" s="24">
        <f t="shared" si="33"/>
        <v>0</v>
      </c>
      <c r="AY27" s="24">
        <f t="shared" si="45"/>
        <v>0</v>
      </c>
      <c r="AZ27" s="24">
        <f t="shared" si="34"/>
        <v>0</v>
      </c>
      <c r="BA27" s="24">
        <f t="shared" si="34"/>
        <v>0</v>
      </c>
      <c r="BB27" s="24">
        <f t="shared" si="46"/>
        <v>0</v>
      </c>
      <c r="BC27" s="24">
        <f t="shared" si="46"/>
        <v>0</v>
      </c>
      <c r="BD27" s="24">
        <f t="shared" si="46"/>
        <v>0</v>
      </c>
      <c r="BE27" s="24">
        <f t="shared" si="46"/>
        <v>0</v>
      </c>
      <c r="BF27" s="24">
        <f t="shared" si="46"/>
        <v>0</v>
      </c>
      <c r="BG27" s="24">
        <f t="shared" si="46"/>
        <v>0</v>
      </c>
      <c r="BH27" s="24">
        <f t="shared" si="46"/>
        <v>0</v>
      </c>
      <c r="BI27" s="24">
        <f t="shared" si="46"/>
        <v>0</v>
      </c>
      <c r="BJ27" s="24">
        <f t="shared" si="46"/>
        <v>0</v>
      </c>
      <c r="BK27" s="24">
        <f t="shared" si="46"/>
        <v>0</v>
      </c>
      <c r="BL27" s="24">
        <f t="shared" si="46"/>
        <v>0</v>
      </c>
      <c r="BM27" s="24">
        <f t="shared" si="46"/>
        <v>0</v>
      </c>
      <c r="BN27" s="24"/>
      <c r="BO27" s="24"/>
      <c r="BP27" s="24"/>
      <c r="BQ27" s="24">
        <f t="shared" si="47"/>
        <v>0</v>
      </c>
      <c r="BR27" s="25">
        <f t="shared" si="10"/>
        <v>1</v>
      </c>
      <c r="BS27" s="24">
        <f t="shared" si="36"/>
        <v>10000000</v>
      </c>
      <c r="BT27" s="24"/>
      <c r="BU27" s="24"/>
      <c r="BV27" s="24"/>
      <c r="BW27" s="24"/>
      <c r="BX27" s="24"/>
      <c r="BY27" s="24"/>
      <c r="BZ27" s="24"/>
      <c r="CA27" s="24"/>
      <c r="CB27" s="24"/>
      <c r="CC27" s="24"/>
      <c r="CD27" s="24"/>
      <c r="CE27" s="24"/>
      <c r="CF27" s="24"/>
      <c r="CG27" s="24"/>
      <c r="CH27" s="24">
        <f>+'[8]ABRIL 2016'!$Y$572</f>
        <v>10000000</v>
      </c>
      <c r="CI27" s="24"/>
      <c r="CJ27" s="24"/>
      <c r="CK27" s="24"/>
      <c r="CL27" s="24"/>
      <c r="CM27" s="24"/>
      <c r="CN27" s="25">
        <f t="shared" si="12"/>
        <v>0</v>
      </c>
      <c r="CO27" s="24">
        <f t="shared" si="37"/>
        <v>0</v>
      </c>
      <c r="CP27" s="24">
        <f t="shared" si="48"/>
        <v>0</v>
      </c>
      <c r="CQ27" s="24">
        <f t="shared" si="38"/>
        <v>0</v>
      </c>
      <c r="CR27" s="24">
        <f t="shared" si="38"/>
        <v>0</v>
      </c>
      <c r="CS27" s="24">
        <f t="shared" si="38"/>
        <v>0</v>
      </c>
      <c r="CT27" s="24">
        <f t="shared" si="38"/>
        <v>0</v>
      </c>
      <c r="CU27" s="24">
        <f t="shared" si="38"/>
        <v>0</v>
      </c>
      <c r="CV27" s="24">
        <f t="shared" si="49"/>
        <v>0</v>
      </c>
      <c r="CW27" s="24">
        <f t="shared" si="49"/>
        <v>0</v>
      </c>
      <c r="CX27" s="24">
        <f t="shared" si="49"/>
        <v>0</v>
      </c>
      <c r="CY27" s="24">
        <f t="shared" si="50"/>
        <v>0</v>
      </c>
      <c r="CZ27" s="24">
        <f t="shared" si="50"/>
        <v>0</v>
      </c>
      <c r="DA27" s="24">
        <f t="shared" si="50"/>
        <v>0</v>
      </c>
      <c r="DB27" s="24">
        <f t="shared" si="51"/>
        <v>0</v>
      </c>
      <c r="DC27" s="24">
        <f t="shared" si="51"/>
        <v>0</v>
      </c>
      <c r="DD27" s="24">
        <f t="shared" si="51"/>
        <v>0</v>
      </c>
      <c r="DE27" s="24"/>
      <c r="DF27" s="24">
        <f t="shared" si="52"/>
        <v>0</v>
      </c>
      <c r="DG27" s="24">
        <f t="shared" si="52"/>
        <v>0</v>
      </c>
      <c r="DH27" s="24">
        <f t="shared" si="52"/>
        <v>0</v>
      </c>
      <c r="DJ27" s="77"/>
      <c r="DK27" s="77"/>
      <c r="DL27" s="196">
        <f t="shared" si="43"/>
        <v>10000000</v>
      </c>
      <c r="DM27" s="197">
        <f t="shared" si="44"/>
        <v>10000000</v>
      </c>
      <c r="DN27" s="77"/>
    </row>
    <row r="28" spans="1:118" ht="30" hidden="1" x14ac:dyDescent="0.25">
      <c r="A28" s="30"/>
      <c r="B28" s="232"/>
      <c r="C28" s="20" t="s">
        <v>106</v>
      </c>
      <c r="D28" s="21" t="s">
        <v>107</v>
      </c>
      <c r="E28" s="22">
        <v>410</v>
      </c>
      <c r="F28" s="23" t="s">
        <v>105</v>
      </c>
      <c r="G28" s="24">
        <f t="shared" si="31"/>
        <v>0</v>
      </c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>
        <f>20000000-20000000</f>
        <v>0</v>
      </c>
      <c r="V28" s="24"/>
      <c r="W28" s="24"/>
      <c r="X28" s="24"/>
      <c r="Y28" s="24"/>
      <c r="Z28" s="24"/>
      <c r="AA28" s="25" t="e">
        <f t="shared" si="1"/>
        <v>#DIV/0!</v>
      </c>
      <c r="AB28" s="24">
        <f t="shared" si="32"/>
        <v>0</v>
      </c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5" t="e">
        <f t="shared" si="3"/>
        <v>#DIV/0!</v>
      </c>
      <c r="AX28" s="24">
        <f t="shared" si="33"/>
        <v>0</v>
      </c>
      <c r="AY28" s="24">
        <f t="shared" si="45"/>
        <v>0</v>
      </c>
      <c r="AZ28" s="24">
        <f t="shared" si="34"/>
        <v>0</v>
      </c>
      <c r="BA28" s="24">
        <f t="shared" si="34"/>
        <v>0</v>
      </c>
      <c r="BB28" s="24">
        <f t="shared" si="46"/>
        <v>0</v>
      </c>
      <c r="BC28" s="24">
        <f t="shared" si="46"/>
        <v>0</v>
      </c>
      <c r="BD28" s="24">
        <f t="shared" si="46"/>
        <v>0</v>
      </c>
      <c r="BE28" s="24">
        <f t="shared" si="46"/>
        <v>0</v>
      </c>
      <c r="BF28" s="24">
        <f t="shared" si="46"/>
        <v>0</v>
      </c>
      <c r="BG28" s="24">
        <f t="shared" si="46"/>
        <v>0</v>
      </c>
      <c r="BH28" s="24">
        <f t="shared" si="46"/>
        <v>0</v>
      </c>
      <c r="BI28" s="24">
        <f t="shared" si="46"/>
        <v>0</v>
      </c>
      <c r="BJ28" s="24">
        <f t="shared" si="46"/>
        <v>0</v>
      </c>
      <c r="BK28" s="24">
        <f t="shared" si="46"/>
        <v>0</v>
      </c>
      <c r="BL28" s="24">
        <f t="shared" si="46"/>
        <v>0</v>
      </c>
      <c r="BM28" s="24">
        <f t="shared" si="46"/>
        <v>0</v>
      </c>
      <c r="BN28" s="24"/>
      <c r="BO28" s="24"/>
      <c r="BP28" s="24"/>
      <c r="BQ28" s="24">
        <f t="shared" si="47"/>
        <v>0</v>
      </c>
      <c r="BR28" s="25" t="e">
        <f t="shared" si="10"/>
        <v>#DIV/0!</v>
      </c>
      <c r="BS28" s="24">
        <f t="shared" si="36"/>
        <v>0</v>
      </c>
      <c r="BT28" s="24"/>
      <c r="BU28" s="24"/>
      <c r="BV28" s="24"/>
      <c r="BW28" s="24"/>
      <c r="BX28" s="24"/>
      <c r="BY28" s="24"/>
      <c r="BZ28" s="24"/>
      <c r="CA28" s="24"/>
      <c r="CB28" s="24"/>
      <c r="CC28" s="24"/>
      <c r="CD28" s="24"/>
      <c r="CE28" s="24"/>
      <c r="CF28" s="24"/>
      <c r="CG28" s="24"/>
      <c r="CH28" s="24"/>
      <c r="CI28" s="24"/>
      <c r="CJ28" s="24"/>
      <c r="CK28" s="24"/>
      <c r="CL28" s="24"/>
      <c r="CM28" s="24"/>
      <c r="CN28" s="25" t="e">
        <f t="shared" si="12"/>
        <v>#DIV/0!</v>
      </c>
      <c r="CO28" s="24">
        <f t="shared" si="37"/>
        <v>0</v>
      </c>
      <c r="CP28" s="24">
        <f t="shared" si="48"/>
        <v>0</v>
      </c>
      <c r="CQ28" s="24">
        <f t="shared" si="38"/>
        <v>0</v>
      </c>
      <c r="CR28" s="24">
        <f t="shared" si="38"/>
        <v>0</v>
      </c>
      <c r="CS28" s="24">
        <f t="shared" si="38"/>
        <v>0</v>
      </c>
      <c r="CT28" s="24">
        <f t="shared" si="38"/>
        <v>0</v>
      </c>
      <c r="CU28" s="24">
        <f t="shared" si="38"/>
        <v>0</v>
      </c>
      <c r="CV28" s="24">
        <f t="shared" si="49"/>
        <v>0</v>
      </c>
      <c r="CW28" s="24">
        <f t="shared" si="49"/>
        <v>0</v>
      </c>
      <c r="CX28" s="24">
        <f t="shared" si="49"/>
        <v>0</v>
      </c>
      <c r="CY28" s="24">
        <f t="shared" si="50"/>
        <v>0</v>
      </c>
      <c r="CZ28" s="24">
        <f t="shared" si="50"/>
        <v>0</v>
      </c>
      <c r="DA28" s="24">
        <f t="shared" si="50"/>
        <v>0</v>
      </c>
      <c r="DB28" s="24">
        <f t="shared" si="51"/>
        <v>0</v>
      </c>
      <c r="DC28" s="24">
        <f t="shared" si="51"/>
        <v>0</v>
      </c>
      <c r="DD28" s="24">
        <f t="shared" si="51"/>
        <v>0</v>
      </c>
      <c r="DE28" s="24"/>
      <c r="DF28" s="24">
        <f t="shared" si="52"/>
        <v>0</v>
      </c>
      <c r="DG28" s="24">
        <f t="shared" si="52"/>
        <v>0</v>
      </c>
      <c r="DH28" s="24">
        <f t="shared" si="52"/>
        <v>0</v>
      </c>
      <c r="DJ28" s="77"/>
      <c r="DK28" s="77"/>
      <c r="DL28" s="196">
        <f t="shared" si="43"/>
        <v>0</v>
      </c>
      <c r="DM28" s="197">
        <f t="shared" si="44"/>
        <v>0</v>
      </c>
      <c r="DN28" s="77"/>
    </row>
    <row r="29" spans="1:118" ht="30" hidden="1" x14ac:dyDescent="0.25">
      <c r="A29" s="30"/>
      <c r="B29" s="232"/>
      <c r="C29" s="20" t="s">
        <v>108</v>
      </c>
      <c r="D29" s="21" t="s">
        <v>109</v>
      </c>
      <c r="E29" s="22">
        <v>410</v>
      </c>
      <c r="F29" s="23" t="s">
        <v>105</v>
      </c>
      <c r="G29" s="24">
        <f t="shared" si="31"/>
        <v>27000000</v>
      </c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>
        <f>50000000-23000000</f>
        <v>27000000</v>
      </c>
      <c r="V29" s="24"/>
      <c r="W29" s="24"/>
      <c r="X29" s="24"/>
      <c r="Y29" s="24"/>
      <c r="Z29" s="24"/>
      <c r="AA29" s="25">
        <f t="shared" si="1"/>
        <v>1</v>
      </c>
      <c r="AB29" s="24">
        <f t="shared" si="32"/>
        <v>27000000</v>
      </c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>
        <f>+'[8]ABRIL 2016'!$Y$585</f>
        <v>27000000</v>
      </c>
      <c r="AR29" s="24"/>
      <c r="AS29" s="24"/>
      <c r="AT29" s="24"/>
      <c r="AU29" s="24"/>
      <c r="AV29" s="24"/>
      <c r="AW29" s="25">
        <f t="shared" si="3"/>
        <v>0</v>
      </c>
      <c r="AX29" s="24">
        <f t="shared" si="33"/>
        <v>0</v>
      </c>
      <c r="AY29" s="24">
        <f t="shared" si="45"/>
        <v>0</v>
      </c>
      <c r="AZ29" s="24">
        <f t="shared" si="34"/>
        <v>0</v>
      </c>
      <c r="BA29" s="24">
        <f t="shared" si="34"/>
        <v>0</v>
      </c>
      <c r="BB29" s="24">
        <f t="shared" si="46"/>
        <v>0</v>
      </c>
      <c r="BC29" s="24">
        <f t="shared" si="46"/>
        <v>0</v>
      </c>
      <c r="BD29" s="24">
        <f t="shared" si="46"/>
        <v>0</v>
      </c>
      <c r="BE29" s="24">
        <f t="shared" si="46"/>
        <v>0</v>
      </c>
      <c r="BF29" s="24">
        <f t="shared" si="46"/>
        <v>0</v>
      </c>
      <c r="BG29" s="24">
        <f t="shared" si="46"/>
        <v>0</v>
      </c>
      <c r="BH29" s="24">
        <f t="shared" si="46"/>
        <v>0</v>
      </c>
      <c r="BI29" s="24">
        <f t="shared" si="46"/>
        <v>0</v>
      </c>
      <c r="BJ29" s="24">
        <f t="shared" si="46"/>
        <v>0</v>
      </c>
      <c r="BK29" s="24">
        <f t="shared" si="46"/>
        <v>0</v>
      </c>
      <c r="BL29" s="24">
        <f t="shared" si="46"/>
        <v>0</v>
      </c>
      <c r="BM29" s="24">
        <f t="shared" si="46"/>
        <v>0</v>
      </c>
      <c r="BN29" s="24"/>
      <c r="BO29" s="24"/>
      <c r="BP29" s="24"/>
      <c r="BQ29" s="24">
        <f t="shared" si="47"/>
        <v>0</v>
      </c>
      <c r="BR29" s="25">
        <f t="shared" si="10"/>
        <v>0.80074074074074075</v>
      </c>
      <c r="BS29" s="24">
        <f t="shared" si="36"/>
        <v>21620000</v>
      </c>
      <c r="BT29" s="24"/>
      <c r="BU29" s="24"/>
      <c r="BV29" s="24"/>
      <c r="BW29" s="24"/>
      <c r="BX29" s="24"/>
      <c r="BY29" s="24"/>
      <c r="BZ29" s="24"/>
      <c r="CA29" s="24"/>
      <c r="CB29" s="24"/>
      <c r="CC29" s="24"/>
      <c r="CD29" s="24"/>
      <c r="CE29" s="24"/>
      <c r="CF29" s="24"/>
      <c r="CG29" s="24"/>
      <c r="CH29" s="24">
        <f>+'[1]SEPTIEMBRE 2016'!$H$1291</f>
        <v>21620000</v>
      </c>
      <c r="CI29" s="24"/>
      <c r="CJ29" s="24"/>
      <c r="CK29" s="24"/>
      <c r="CL29" s="24"/>
      <c r="CM29" s="24"/>
      <c r="CN29" s="25">
        <f t="shared" si="12"/>
        <v>0.19925925925925925</v>
      </c>
      <c r="CO29" s="24">
        <f t="shared" si="37"/>
        <v>5380000</v>
      </c>
      <c r="CP29" s="24">
        <f t="shared" si="48"/>
        <v>0</v>
      </c>
      <c r="CQ29" s="24">
        <f t="shared" si="38"/>
        <v>0</v>
      </c>
      <c r="CR29" s="24">
        <f t="shared" si="38"/>
        <v>0</v>
      </c>
      <c r="CS29" s="24">
        <f t="shared" si="38"/>
        <v>0</v>
      </c>
      <c r="CT29" s="24">
        <f t="shared" si="38"/>
        <v>0</v>
      </c>
      <c r="CU29" s="24">
        <f t="shared" si="38"/>
        <v>0</v>
      </c>
      <c r="CV29" s="24">
        <f t="shared" si="49"/>
        <v>0</v>
      </c>
      <c r="CW29" s="24">
        <f t="shared" si="49"/>
        <v>0</v>
      </c>
      <c r="CX29" s="24">
        <f t="shared" si="49"/>
        <v>0</v>
      </c>
      <c r="CY29" s="24">
        <f t="shared" si="50"/>
        <v>0</v>
      </c>
      <c r="CZ29" s="24">
        <f t="shared" si="50"/>
        <v>0</v>
      </c>
      <c r="DA29" s="24">
        <f t="shared" si="50"/>
        <v>0</v>
      </c>
      <c r="DB29" s="24">
        <f t="shared" si="51"/>
        <v>0</v>
      </c>
      <c r="DC29" s="24">
        <f t="shared" si="51"/>
        <v>5380000</v>
      </c>
      <c r="DD29" s="24">
        <f t="shared" si="51"/>
        <v>0</v>
      </c>
      <c r="DE29" s="24"/>
      <c r="DF29" s="24">
        <f t="shared" si="52"/>
        <v>0</v>
      </c>
      <c r="DG29" s="24">
        <f t="shared" si="52"/>
        <v>0</v>
      </c>
      <c r="DH29" s="24">
        <f t="shared" si="52"/>
        <v>0</v>
      </c>
      <c r="DJ29" s="77"/>
      <c r="DK29" s="77"/>
      <c r="DL29" s="196">
        <f t="shared" si="43"/>
        <v>27000000</v>
      </c>
      <c r="DM29" s="197">
        <f t="shared" si="44"/>
        <v>21620000</v>
      </c>
      <c r="DN29" s="77"/>
    </row>
    <row r="30" spans="1:118" ht="37.5" hidden="1" customHeight="1" x14ac:dyDescent="0.25">
      <c r="A30" s="30"/>
      <c r="B30" s="232"/>
      <c r="C30" s="20" t="s">
        <v>110</v>
      </c>
      <c r="D30" s="21" t="s">
        <v>111</v>
      </c>
      <c r="E30" s="22">
        <v>410</v>
      </c>
      <c r="F30" s="23" t="s">
        <v>112</v>
      </c>
      <c r="G30" s="24">
        <f t="shared" si="31"/>
        <v>122300000</v>
      </c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>
        <v>17300000</v>
      </c>
      <c r="S30" s="24"/>
      <c r="T30" s="24"/>
      <c r="U30" s="24">
        <v>100000000</v>
      </c>
      <c r="V30" s="24"/>
      <c r="W30" s="24"/>
      <c r="X30" s="24"/>
      <c r="Y30" s="24"/>
      <c r="Z30" s="24">
        <v>5000000</v>
      </c>
      <c r="AA30" s="25">
        <f t="shared" si="1"/>
        <v>0.86683854456255105</v>
      </c>
      <c r="AB30" s="24">
        <f t="shared" si="32"/>
        <v>106014354</v>
      </c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>
        <f>+'[1]SEPTIEMBRE 2016'!$V$1305</f>
        <v>5611743</v>
      </c>
      <c r="AO30" s="24"/>
      <c r="AP30" s="24"/>
      <c r="AQ30" s="24">
        <f>+'[1]SEPTIEMBRE 2016'!$Y$1305</f>
        <v>99252111</v>
      </c>
      <c r="AR30" s="24"/>
      <c r="AS30" s="24"/>
      <c r="AT30" s="24"/>
      <c r="AU30" s="24"/>
      <c r="AV30" s="24">
        <v>1150500</v>
      </c>
      <c r="AW30" s="25">
        <f t="shared" si="3"/>
        <v>0.13316145543744895</v>
      </c>
      <c r="AX30" s="24">
        <f t="shared" si="33"/>
        <v>16285646</v>
      </c>
      <c r="AY30" s="24">
        <f t="shared" si="45"/>
        <v>0</v>
      </c>
      <c r="AZ30" s="24">
        <f t="shared" si="34"/>
        <v>0</v>
      </c>
      <c r="BA30" s="24">
        <f t="shared" si="34"/>
        <v>0</v>
      </c>
      <c r="BB30" s="24">
        <f t="shared" si="46"/>
        <v>0</v>
      </c>
      <c r="BC30" s="24">
        <f t="shared" si="46"/>
        <v>0</v>
      </c>
      <c r="BD30" s="24">
        <f t="shared" si="46"/>
        <v>0</v>
      </c>
      <c r="BE30" s="24">
        <f t="shared" si="46"/>
        <v>0</v>
      </c>
      <c r="BF30" s="24">
        <f t="shared" si="46"/>
        <v>0</v>
      </c>
      <c r="BG30" s="24">
        <f t="shared" si="46"/>
        <v>0</v>
      </c>
      <c r="BH30" s="24">
        <f t="shared" si="46"/>
        <v>0</v>
      </c>
      <c r="BI30" s="24">
        <f t="shared" si="46"/>
        <v>11688257</v>
      </c>
      <c r="BJ30" s="24">
        <f t="shared" si="46"/>
        <v>0</v>
      </c>
      <c r="BK30" s="24">
        <f t="shared" si="46"/>
        <v>0</v>
      </c>
      <c r="BL30" s="24">
        <f t="shared" si="46"/>
        <v>747889</v>
      </c>
      <c r="BM30" s="24">
        <f t="shared" si="46"/>
        <v>0</v>
      </c>
      <c r="BN30" s="24"/>
      <c r="BO30" s="24"/>
      <c r="BP30" s="24"/>
      <c r="BQ30" s="24">
        <f t="shared" si="47"/>
        <v>3849500</v>
      </c>
      <c r="BR30" s="25">
        <f t="shared" si="10"/>
        <v>0.86683854456255105</v>
      </c>
      <c r="BS30" s="24">
        <f t="shared" si="36"/>
        <v>106014354</v>
      </c>
      <c r="BT30" s="24"/>
      <c r="BU30" s="24"/>
      <c r="BV30" s="24"/>
      <c r="BW30" s="24"/>
      <c r="BX30" s="24"/>
      <c r="BY30" s="24"/>
      <c r="BZ30" s="24"/>
      <c r="CA30" s="24"/>
      <c r="CB30" s="24"/>
      <c r="CC30" s="24"/>
      <c r="CD30" s="24"/>
      <c r="CE30" s="24">
        <f>+'[1]SEPTIEMBRE 2016'!$V$1305</f>
        <v>5611743</v>
      </c>
      <c r="CF30" s="24"/>
      <c r="CG30" s="24"/>
      <c r="CH30" s="24">
        <f>+'[1]SEPTIEMBRE 2016'!$Y$1305</f>
        <v>99252111</v>
      </c>
      <c r="CI30" s="24"/>
      <c r="CJ30" s="24"/>
      <c r="CK30" s="24"/>
      <c r="CL30" s="24"/>
      <c r="CM30" s="24">
        <v>1150500</v>
      </c>
      <c r="CN30" s="25">
        <f t="shared" si="12"/>
        <v>0.13316145543744895</v>
      </c>
      <c r="CO30" s="24">
        <f t="shared" si="37"/>
        <v>16285646</v>
      </c>
      <c r="CP30" s="24">
        <f t="shared" si="48"/>
        <v>0</v>
      </c>
      <c r="CQ30" s="24">
        <f t="shared" si="38"/>
        <v>0</v>
      </c>
      <c r="CR30" s="24">
        <f t="shared" si="38"/>
        <v>0</v>
      </c>
      <c r="CS30" s="24">
        <f t="shared" si="38"/>
        <v>0</v>
      </c>
      <c r="CT30" s="24">
        <f t="shared" si="38"/>
        <v>0</v>
      </c>
      <c r="CU30" s="24">
        <f t="shared" si="38"/>
        <v>0</v>
      </c>
      <c r="CV30" s="24">
        <f t="shared" si="49"/>
        <v>0</v>
      </c>
      <c r="CW30" s="24">
        <f t="shared" si="49"/>
        <v>0</v>
      </c>
      <c r="CX30" s="24">
        <f t="shared" si="49"/>
        <v>0</v>
      </c>
      <c r="CY30" s="24">
        <f t="shared" si="50"/>
        <v>0</v>
      </c>
      <c r="CZ30" s="24">
        <f t="shared" si="50"/>
        <v>11688257</v>
      </c>
      <c r="DA30" s="24">
        <f t="shared" si="50"/>
        <v>0</v>
      </c>
      <c r="DB30" s="24">
        <f t="shared" si="51"/>
        <v>0</v>
      </c>
      <c r="DC30" s="24">
        <f t="shared" si="51"/>
        <v>747889</v>
      </c>
      <c r="DD30" s="24">
        <f t="shared" si="51"/>
        <v>0</v>
      </c>
      <c r="DE30" s="24"/>
      <c r="DF30" s="24">
        <f t="shared" si="52"/>
        <v>0</v>
      </c>
      <c r="DG30" s="24">
        <f t="shared" si="52"/>
        <v>0</v>
      </c>
      <c r="DH30" s="24">
        <f t="shared" si="52"/>
        <v>3849500</v>
      </c>
      <c r="DJ30" s="77"/>
      <c r="DK30" s="77"/>
      <c r="DL30" s="196">
        <f t="shared" si="43"/>
        <v>122300000</v>
      </c>
      <c r="DM30" s="197">
        <f t="shared" si="44"/>
        <v>106014354</v>
      </c>
      <c r="DN30" s="77"/>
    </row>
    <row r="31" spans="1:118" ht="33.75" hidden="1" customHeight="1" x14ac:dyDescent="0.25">
      <c r="A31" s="30"/>
      <c r="B31" s="232"/>
      <c r="C31" s="20" t="s">
        <v>113</v>
      </c>
      <c r="D31" s="21" t="s">
        <v>114</v>
      </c>
      <c r="E31" s="22">
        <v>410</v>
      </c>
      <c r="F31" s="23" t="s">
        <v>105</v>
      </c>
      <c r="G31" s="24">
        <f t="shared" si="31"/>
        <v>100000000</v>
      </c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>
        <v>100000000</v>
      </c>
      <c r="V31" s="24"/>
      <c r="W31" s="24"/>
      <c r="X31" s="24"/>
      <c r="Y31" s="24"/>
      <c r="Z31" s="24"/>
      <c r="AA31" s="25">
        <f t="shared" si="1"/>
        <v>0.85333278999999995</v>
      </c>
      <c r="AB31" s="24">
        <f t="shared" si="32"/>
        <v>85333279</v>
      </c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>
        <f>+'[1]SEPTIEMBRE 2016'!$Y$1363</f>
        <v>85333279</v>
      </c>
      <c r="AR31" s="24"/>
      <c r="AS31" s="24"/>
      <c r="AT31" s="24"/>
      <c r="AU31" s="24"/>
      <c r="AV31" s="24"/>
      <c r="AW31" s="25">
        <f t="shared" si="3"/>
        <v>0.14666721000000005</v>
      </c>
      <c r="AX31" s="24">
        <f t="shared" si="33"/>
        <v>14666721</v>
      </c>
      <c r="AY31" s="24">
        <f t="shared" si="45"/>
        <v>0</v>
      </c>
      <c r="AZ31" s="24">
        <f t="shared" si="34"/>
        <v>0</v>
      </c>
      <c r="BA31" s="24">
        <f t="shared" si="34"/>
        <v>0</v>
      </c>
      <c r="BB31" s="24">
        <f t="shared" si="46"/>
        <v>0</v>
      </c>
      <c r="BC31" s="24">
        <f t="shared" si="46"/>
        <v>0</v>
      </c>
      <c r="BD31" s="24">
        <f t="shared" si="46"/>
        <v>0</v>
      </c>
      <c r="BE31" s="24">
        <f t="shared" si="46"/>
        <v>0</v>
      </c>
      <c r="BF31" s="24">
        <f t="shared" si="46"/>
        <v>0</v>
      </c>
      <c r="BG31" s="24">
        <f t="shared" si="46"/>
        <v>0</v>
      </c>
      <c r="BH31" s="24">
        <f t="shared" si="46"/>
        <v>0</v>
      </c>
      <c r="BI31" s="24">
        <f t="shared" si="46"/>
        <v>0</v>
      </c>
      <c r="BJ31" s="24">
        <f t="shared" si="46"/>
        <v>0</v>
      </c>
      <c r="BK31" s="24">
        <f t="shared" si="46"/>
        <v>0</v>
      </c>
      <c r="BL31" s="24">
        <f t="shared" si="46"/>
        <v>14666721</v>
      </c>
      <c r="BM31" s="24">
        <f t="shared" si="46"/>
        <v>0</v>
      </c>
      <c r="BN31" s="24"/>
      <c r="BO31" s="24"/>
      <c r="BP31" s="24"/>
      <c r="BQ31" s="24">
        <f t="shared" si="47"/>
        <v>0</v>
      </c>
      <c r="BR31" s="25">
        <f t="shared" si="10"/>
        <v>0.85333278999999995</v>
      </c>
      <c r="BS31" s="24">
        <f t="shared" si="36"/>
        <v>85333279</v>
      </c>
      <c r="BT31" s="24"/>
      <c r="BU31" s="24"/>
      <c r="BV31" s="24"/>
      <c r="BW31" s="24"/>
      <c r="BX31" s="24"/>
      <c r="BY31" s="24"/>
      <c r="BZ31" s="24"/>
      <c r="CA31" s="24"/>
      <c r="CB31" s="24"/>
      <c r="CC31" s="24"/>
      <c r="CD31" s="24"/>
      <c r="CE31" s="24"/>
      <c r="CF31" s="24"/>
      <c r="CG31" s="24"/>
      <c r="CH31" s="24">
        <f>+'[1]SEPTIEMBRE 2016'!$H$1361</f>
        <v>85333279</v>
      </c>
      <c r="CI31" s="24"/>
      <c r="CJ31" s="24"/>
      <c r="CK31" s="24"/>
      <c r="CL31" s="24"/>
      <c r="CM31" s="24"/>
      <c r="CN31" s="25">
        <f t="shared" si="12"/>
        <v>0.14666721000000005</v>
      </c>
      <c r="CO31" s="24">
        <f t="shared" si="37"/>
        <v>14666721</v>
      </c>
      <c r="CP31" s="24">
        <f t="shared" si="48"/>
        <v>0</v>
      </c>
      <c r="CQ31" s="24">
        <f t="shared" si="38"/>
        <v>0</v>
      </c>
      <c r="CR31" s="24">
        <f t="shared" si="38"/>
        <v>0</v>
      </c>
      <c r="CS31" s="24">
        <f t="shared" si="38"/>
        <v>0</v>
      </c>
      <c r="CT31" s="24">
        <f t="shared" si="38"/>
        <v>0</v>
      </c>
      <c r="CU31" s="24">
        <f t="shared" si="38"/>
        <v>0</v>
      </c>
      <c r="CV31" s="24">
        <f t="shared" si="49"/>
        <v>0</v>
      </c>
      <c r="CW31" s="24">
        <f t="shared" si="49"/>
        <v>0</v>
      </c>
      <c r="CX31" s="24">
        <f t="shared" si="49"/>
        <v>0</v>
      </c>
      <c r="CY31" s="24">
        <f t="shared" si="50"/>
        <v>0</v>
      </c>
      <c r="CZ31" s="24">
        <f t="shared" si="50"/>
        <v>0</v>
      </c>
      <c r="DA31" s="24">
        <f t="shared" si="50"/>
        <v>0</v>
      </c>
      <c r="DB31" s="24">
        <f t="shared" si="51"/>
        <v>0</v>
      </c>
      <c r="DC31" s="24">
        <f t="shared" si="51"/>
        <v>14666721</v>
      </c>
      <c r="DD31" s="24">
        <f t="shared" si="51"/>
        <v>0</v>
      </c>
      <c r="DE31" s="24"/>
      <c r="DF31" s="24">
        <f t="shared" si="52"/>
        <v>0</v>
      </c>
      <c r="DG31" s="24">
        <f t="shared" si="52"/>
        <v>0</v>
      </c>
      <c r="DH31" s="24">
        <f t="shared" si="52"/>
        <v>0</v>
      </c>
      <c r="DJ31" s="77"/>
      <c r="DK31" s="77"/>
      <c r="DL31" s="196">
        <f t="shared" si="43"/>
        <v>100000000</v>
      </c>
      <c r="DM31" s="197">
        <f t="shared" si="44"/>
        <v>85333279</v>
      </c>
      <c r="DN31" s="77"/>
    </row>
    <row r="32" spans="1:118" ht="22.5" hidden="1" customHeight="1" x14ac:dyDescent="0.25">
      <c r="A32" s="30"/>
      <c r="B32" s="232"/>
      <c r="C32" s="20" t="s">
        <v>115</v>
      </c>
      <c r="D32" s="21" t="s">
        <v>116</v>
      </c>
      <c r="E32" s="22">
        <v>410</v>
      </c>
      <c r="F32" s="23" t="s">
        <v>76</v>
      </c>
      <c r="G32" s="24">
        <f t="shared" si="31"/>
        <v>17000000</v>
      </c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>
        <f>6000000+2000000+4000000+5000000</f>
        <v>17000000</v>
      </c>
      <c r="AA32" s="25">
        <f t="shared" si="1"/>
        <v>0.70588223529411764</v>
      </c>
      <c r="AB32" s="24">
        <f t="shared" si="32"/>
        <v>11999998</v>
      </c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>
        <f>+'[4]AGOSTO 2016'!$AG$1142</f>
        <v>11999998</v>
      </c>
      <c r="AW32" s="25">
        <f t="shared" si="3"/>
        <v>0.29411776470588236</v>
      </c>
      <c r="AX32" s="24">
        <f t="shared" si="33"/>
        <v>5000002</v>
      </c>
      <c r="AY32" s="24">
        <f t="shared" si="45"/>
        <v>0</v>
      </c>
      <c r="AZ32" s="24">
        <f t="shared" si="34"/>
        <v>0</v>
      </c>
      <c r="BA32" s="24">
        <f t="shared" si="34"/>
        <v>0</v>
      </c>
      <c r="BB32" s="24">
        <f t="shared" si="46"/>
        <v>0</v>
      </c>
      <c r="BC32" s="24">
        <f t="shared" si="46"/>
        <v>0</v>
      </c>
      <c r="BD32" s="24">
        <f t="shared" si="46"/>
        <v>0</v>
      </c>
      <c r="BE32" s="24">
        <f t="shared" si="46"/>
        <v>0</v>
      </c>
      <c r="BF32" s="24">
        <f t="shared" si="46"/>
        <v>0</v>
      </c>
      <c r="BG32" s="24">
        <f t="shared" si="46"/>
        <v>0</v>
      </c>
      <c r="BH32" s="24">
        <f t="shared" si="46"/>
        <v>0</v>
      </c>
      <c r="BI32" s="24">
        <f t="shared" si="46"/>
        <v>0</v>
      </c>
      <c r="BJ32" s="24">
        <f t="shared" si="46"/>
        <v>0</v>
      </c>
      <c r="BK32" s="24"/>
      <c r="BL32" s="24">
        <f t="shared" si="46"/>
        <v>0</v>
      </c>
      <c r="BM32" s="24">
        <f t="shared" si="46"/>
        <v>0</v>
      </c>
      <c r="BN32" s="24"/>
      <c r="BO32" s="24"/>
      <c r="BP32" s="24"/>
      <c r="BQ32" s="24">
        <f t="shared" si="47"/>
        <v>5000002</v>
      </c>
      <c r="BR32" s="25">
        <f t="shared" si="10"/>
        <v>0.70588223529411764</v>
      </c>
      <c r="BS32" s="24">
        <f t="shared" si="36"/>
        <v>11999998</v>
      </c>
      <c r="BT32" s="24"/>
      <c r="BU32" s="24"/>
      <c r="BV32" s="24"/>
      <c r="BW32" s="24"/>
      <c r="BX32" s="24"/>
      <c r="BY32" s="24"/>
      <c r="BZ32" s="24"/>
      <c r="CA32" s="24"/>
      <c r="CB32" s="24"/>
      <c r="CC32" s="24"/>
      <c r="CD32" s="24"/>
      <c r="CE32" s="24"/>
      <c r="CF32" s="24"/>
      <c r="CG32" s="24"/>
      <c r="CH32" s="24"/>
      <c r="CI32" s="24"/>
      <c r="CJ32" s="24"/>
      <c r="CK32" s="24"/>
      <c r="CL32" s="24"/>
      <c r="CM32" s="24">
        <f>+'[1]SEPTIEMBRE 2016'!$H$1388</f>
        <v>11999998</v>
      </c>
      <c r="CN32" s="25">
        <f t="shared" si="12"/>
        <v>0.29411776470588236</v>
      </c>
      <c r="CO32" s="24">
        <f t="shared" si="37"/>
        <v>5000002</v>
      </c>
      <c r="CP32" s="24">
        <f t="shared" si="48"/>
        <v>0</v>
      </c>
      <c r="CQ32" s="24">
        <f t="shared" si="38"/>
        <v>0</v>
      </c>
      <c r="CR32" s="24">
        <f t="shared" si="38"/>
        <v>0</v>
      </c>
      <c r="CS32" s="24">
        <f t="shared" si="38"/>
        <v>0</v>
      </c>
      <c r="CT32" s="24">
        <f t="shared" si="38"/>
        <v>0</v>
      </c>
      <c r="CU32" s="24">
        <f t="shared" si="38"/>
        <v>0</v>
      </c>
      <c r="CV32" s="24">
        <f t="shared" si="49"/>
        <v>0</v>
      </c>
      <c r="CW32" s="24">
        <f t="shared" si="49"/>
        <v>0</v>
      </c>
      <c r="CX32" s="24">
        <f t="shared" si="49"/>
        <v>0</v>
      </c>
      <c r="CY32" s="24">
        <f t="shared" si="50"/>
        <v>0</v>
      </c>
      <c r="CZ32" s="24">
        <f t="shared" si="50"/>
        <v>0</v>
      </c>
      <c r="DA32" s="24">
        <f t="shared" si="50"/>
        <v>0</v>
      </c>
      <c r="DB32" s="24">
        <f t="shared" si="50"/>
        <v>0</v>
      </c>
      <c r="DC32" s="24">
        <f t="shared" si="50"/>
        <v>0</v>
      </c>
      <c r="DD32" s="24">
        <f t="shared" si="50"/>
        <v>0</v>
      </c>
      <c r="DE32" s="24"/>
      <c r="DF32" s="24">
        <f t="shared" ref="DF32:DH47" si="53">X32-CK32</f>
        <v>0</v>
      </c>
      <c r="DG32" s="24">
        <f t="shared" si="53"/>
        <v>0</v>
      </c>
      <c r="DH32" s="24">
        <f t="shared" si="53"/>
        <v>5000002</v>
      </c>
      <c r="DJ32" s="77"/>
      <c r="DK32" s="77"/>
      <c r="DL32" s="196">
        <f t="shared" si="43"/>
        <v>17000000</v>
      </c>
      <c r="DM32" s="197">
        <f t="shared" si="44"/>
        <v>11999998</v>
      </c>
      <c r="DN32" s="77"/>
    </row>
    <row r="33" spans="1:118" ht="47.25" hidden="1" customHeight="1" x14ac:dyDescent="0.25">
      <c r="A33" s="30"/>
      <c r="B33" s="232"/>
      <c r="C33" s="20" t="s">
        <v>117</v>
      </c>
      <c r="D33" s="21" t="s">
        <v>118</v>
      </c>
      <c r="E33" s="22">
        <v>410</v>
      </c>
      <c r="F33" s="23" t="s">
        <v>119</v>
      </c>
      <c r="G33" s="24">
        <f t="shared" si="31"/>
        <v>10000000</v>
      </c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>
        <f>5000000+5000000</f>
        <v>10000000</v>
      </c>
      <c r="AA33" s="25">
        <f t="shared" si="1"/>
        <v>0.40619810000000001</v>
      </c>
      <c r="AB33" s="24">
        <f t="shared" si="32"/>
        <v>4061981</v>
      </c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>
        <f>+'[1]SEPTIEMBRE 2016'!$AG$1406</f>
        <v>4061981</v>
      </c>
      <c r="AW33" s="25">
        <f t="shared" si="3"/>
        <v>0.59380189999999999</v>
      </c>
      <c r="AX33" s="24">
        <f t="shared" si="33"/>
        <v>5938019</v>
      </c>
      <c r="AY33" s="24">
        <f t="shared" si="45"/>
        <v>0</v>
      </c>
      <c r="AZ33" s="24">
        <f t="shared" si="34"/>
        <v>0</v>
      </c>
      <c r="BA33" s="24">
        <f t="shared" si="34"/>
        <v>0</v>
      </c>
      <c r="BB33" s="24">
        <f t="shared" si="46"/>
        <v>0</v>
      </c>
      <c r="BC33" s="24">
        <f t="shared" si="46"/>
        <v>0</v>
      </c>
      <c r="BD33" s="24">
        <f t="shared" si="46"/>
        <v>0</v>
      </c>
      <c r="BE33" s="24">
        <f t="shared" si="46"/>
        <v>0</v>
      </c>
      <c r="BF33" s="24">
        <f t="shared" si="46"/>
        <v>0</v>
      </c>
      <c r="BG33" s="24">
        <f t="shared" si="46"/>
        <v>0</v>
      </c>
      <c r="BH33" s="24">
        <f t="shared" si="46"/>
        <v>0</v>
      </c>
      <c r="BI33" s="24">
        <f t="shared" si="46"/>
        <v>0</v>
      </c>
      <c r="BJ33" s="24">
        <f t="shared" si="46"/>
        <v>0</v>
      </c>
      <c r="BK33" s="24"/>
      <c r="BL33" s="24">
        <f t="shared" si="46"/>
        <v>0</v>
      </c>
      <c r="BM33" s="24">
        <f t="shared" si="46"/>
        <v>0</v>
      </c>
      <c r="BN33" s="24"/>
      <c r="BO33" s="24"/>
      <c r="BP33" s="24"/>
      <c r="BQ33" s="24">
        <f t="shared" si="47"/>
        <v>5938019</v>
      </c>
      <c r="BR33" s="25">
        <f t="shared" si="10"/>
        <v>0.40619810000000001</v>
      </c>
      <c r="BS33" s="24">
        <f t="shared" si="36"/>
        <v>4061981</v>
      </c>
      <c r="BT33" s="24"/>
      <c r="BU33" s="24"/>
      <c r="BV33" s="24"/>
      <c r="BW33" s="24"/>
      <c r="BX33" s="24"/>
      <c r="BY33" s="24"/>
      <c r="BZ33" s="24"/>
      <c r="CA33" s="24"/>
      <c r="CB33" s="24"/>
      <c r="CC33" s="24"/>
      <c r="CD33" s="24"/>
      <c r="CE33" s="24"/>
      <c r="CF33" s="24"/>
      <c r="CG33" s="24"/>
      <c r="CH33" s="24"/>
      <c r="CI33" s="24"/>
      <c r="CJ33" s="24"/>
      <c r="CK33" s="24"/>
      <c r="CL33" s="24"/>
      <c r="CM33" s="24">
        <f>+'[1]SEPTIEMBRE 2016'!$AG$1406</f>
        <v>4061981</v>
      </c>
      <c r="CN33" s="25">
        <f t="shared" si="12"/>
        <v>0.59380189999999999</v>
      </c>
      <c r="CO33" s="24">
        <f t="shared" si="37"/>
        <v>5938019</v>
      </c>
      <c r="CP33" s="24">
        <f t="shared" si="48"/>
        <v>0</v>
      </c>
      <c r="CQ33" s="24">
        <f t="shared" si="38"/>
        <v>0</v>
      </c>
      <c r="CR33" s="24">
        <f t="shared" si="38"/>
        <v>0</v>
      </c>
      <c r="CS33" s="24">
        <f t="shared" si="38"/>
        <v>0</v>
      </c>
      <c r="CT33" s="24">
        <f t="shared" si="38"/>
        <v>0</v>
      </c>
      <c r="CU33" s="24">
        <f t="shared" si="38"/>
        <v>0</v>
      </c>
      <c r="CV33" s="24">
        <f t="shared" si="49"/>
        <v>0</v>
      </c>
      <c r="CW33" s="24">
        <f t="shared" si="49"/>
        <v>0</v>
      </c>
      <c r="CX33" s="24">
        <f t="shared" si="49"/>
        <v>0</v>
      </c>
      <c r="CY33" s="24">
        <f t="shared" si="50"/>
        <v>0</v>
      </c>
      <c r="CZ33" s="24">
        <f t="shared" si="50"/>
        <v>0</v>
      </c>
      <c r="DA33" s="24">
        <f t="shared" si="50"/>
        <v>0</v>
      </c>
      <c r="DB33" s="24">
        <f t="shared" si="50"/>
        <v>0</v>
      </c>
      <c r="DC33" s="24">
        <f t="shared" si="50"/>
        <v>0</v>
      </c>
      <c r="DD33" s="24">
        <f t="shared" si="50"/>
        <v>0</v>
      </c>
      <c r="DE33" s="24"/>
      <c r="DF33" s="24">
        <f t="shared" si="53"/>
        <v>0</v>
      </c>
      <c r="DG33" s="24">
        <f t="shared" si="53"/>
        <v>0</v>
      </c>
      <c r="DH33" s="24">
        <f t="shared" si="53"/>
        <v>5938019</v>
      </c>
      <c r="DJ33" s="77"/>
      <c r="DK33" s="77"/>
      <c r="DL33" s="196">
        <f t="shared" si="43"/>
        <v>10000000</v>
      </c>
      <c r="DM33" s="197">
        <f t="shared" si="44"/>
        <v>4061981</v>
      </c>
      <c r="DN33" s="77"/>
    </row>
    <row r="34" spans="1:118" ht="45" hidden="1" x14ac:dyDescent="0.25">
      <c r="A34" s="30"/>
      <c r="B34" s="233"/>
      <c r="C34" s="20" t="s">
        <v>120</v>
      </c>
      <c r="D34" s="21" t="s">
        <v>121</v>
      </c>
      <c r="E34" s="22">
        <v>410</v>
      </c>
      <c r="F34" s="23" t="s">
        <v>122</v>
      </c>
      <c r="G34" s="24">
        <f t="shared" si="31"/>
        <v>161295383</v>
      </c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>
        <v>110000000</v>
      </c>
      <c r="V34" s="24"/>
      <c r="W34" s="24">
        <f>11169156+40126227</f>
        <v>51295383</v>
      </c>
      <c r="X34" s="24"/>
      <c r="Y34" s="24"/>
      <c r="Z34" s="24"/>
      <c r="AA34" s="25">
        <f t="shared" si="1"/>
        <v>1</v>
      </c>
      <c r="AB34" s="24">
        <f t="shared" si="32"/>
        <v>161295383</v>
      </c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>
        <f>+'[2]ENERO 2016'!$Y$308</f>
        <v>110000000</v>
      </c>
      <c r="AR34" s="24"/>
      <c r="AS34" s="24">
        <f>+'[4]AGOSTO 2016'!$AA$1161</f>
        <v>51295383</v>
      </c>
      <c r="AT34" s="24"/>
      <c r="AU34" s="24"/>
      <c r="AV34" s="24"/>
      <c r="AW34" s="25">
        <f t="shared" si="3"/>
        <v>0</v>
      </c>
      <c r="AX34" s="24">
        <f t="shared" si="33"/>
        <v>0</v>
      </c>
      <c r="AY34" s="24">
        <f t="shared" si="45"/>
        <v>0</v>
      </c>
      <c r="AZ34" s="24">
        <f t="shared" si="34"/>
        <v>0</v>
      </c>
      <c r="BA34" s="24">
        <f t="shared" si="34"/>
        <v>0</v>
      </c>
      <c r="BB34" s="24">
        <f t="shared" si="46"/>
        <v>0</v>
      </c>
      <c r="BC34" s="24">
        <f t="shared" si="46"/>
        <v>0</v>
      </c>
      <c r="BD34" s="24">
        <f t="shared" si="46"/>
        <v>0</v>
      </c>
      <c r="BE34" s="24">
        <f t="shared" si="46"/>
        <v>0</v>
      </c>
      <c r="BF34" s="24">
        <f t="shared" si="46"/>
        <v>0</v>
      </c>
      <c r="BG34" s="24">
        <f t="shared" si="46"/>
        <v>0</v>
      </c>
      <c r="BH34" s="24">
        <f t="shared" si="46"/>
        <v>0</v>
      </c>
      <c r="BI34" s="24">
        <f t="shared" si="46"/>
        <v>0</v>
      </c>
      <c r="BJ34" s="24">
        <f t="shared" si="46"/>
        <v>0</v>
      </c>
      <c r="BK34" s="24"/>
      <c r="BL34" s="24">
        <f t="shared" si="46"/>
        <v>0</v>
      </c>
      <c r="BM34" s="24">
        <f t="shared" si="46"/>
        <v>0</v>
      </c>
      <c r="BN34" s="24">
        <f>+W34-AS34</f>
        <v>0</v>
      </c>
      <c r="BO34" s="24"/>
      <c r="BP34" s="24"/>
      <c r="BQ34" s="24">
        <f t="shared" si="47"/>
        <v>0</v>
      </c>
      <c r="BR34" s="25">
        <f t="shared" si="10"/>
        <v>0.65722831632446665</v>
      </c>
      <c r="BS34" s="24">
        <f t="shared" si="36"/>
        <v>106007893</v>
      </c>
      <c r="BT34" s="24"/>
      <c r="BU34" s="24"/>
      <c r="BV34" s="24"/>
      <c r="BW34" s="24"/>
      <c r="BX34" s="24"/>
      <c r="BY34" s="24"/>
      <c r="BZ34" s="24"/>
      <c r="CA34" s="24"/>
      <c r="CB34" s="24"/>
      <c r="CC34" s="24"/>
      <c r="CD34" s="24"/>
      <c r="CE34" s="24"/>
      <c r="CF34" s="24"/>
      <c r="CG34" s="24"/>
      <c r="CH34" s="24">
        <f>+'[1]SEPTIEMBRE 2016'!$H$1416+'[1]SEPTIEMBRE 2016'!$H$1432+'[1]SEPTIEMBRE 2016'!$H$1446</f>
        <v>100140263</v>
      </c>
      <c r="CI34" s="24"/>
      <c r="CJ34" s="24">
        <f>+'[1]SEPTIEMBRE 2016'!$H$1449+'[1]SEPTIEMBRE 2016'!$H$1452</f>
        <v>5867630</v>
      </c>
      <c r="CK34" s="24"/>
      <c r="CL34" s="24"/>
      <c r="CM34" s="24"/>
      <c r="CN34" s="25">
        <f t="shared" si="12"/>
        <v>0.34277168367553335</v>
      </c>
      <c r="CO34" s="24">
        <f t="shared" si="37"/>
        <v>55287490</v>
      </c>
      <c r="CP34" s="24">
        <f t="shared" si="48"/>
        <v>0</v>
      </c>
      <c r="CQ34" s="24">
        <f t="shared" si="38"/>
        <v>0</v>
      </c>
      <c r="CR34" s="24">
        <f t="shared" si="38"/>
        <v>0</v>
      </c>
      <c r="CS34" s="24">
        <f t="shared" si="38"/>
        <v>0</v>
      </c>
      <c r="CT34" s="24">
        <f t="shared" si="38"/>
        <v>0</v>
      </c>
      <c r="CU34" s="24">
        <f t="shared" si="38"/>
        <v>0</v>
      </c>
      <c r="CV34" s="24">
        <f t="shared" si="49"/>
        <v>0</v>
      </c>
      <c r="CW34" s="24">
        <f t="shared" si="49"/>
        <v>0</v>
      </c>
      <c r="CX34" s="24">
        <f t="shared" si="49"/>
        <v>0</v>
      </c>
      <c r="CY34" s="24">
        <f t="shared" si="50"/>
        <v>0</v>
      </c>
      <c r="CZ34" s="24">
        <f t="shared" si="50"/>
        <v>0</v>
      </c>
      <c r="DA34" s="24">
        <f t="shared" si="50"/>
        <v>0</v>
      </c>
      <c r="DB34" s="24">
        <f t="shared" si="50"/>
        <v>0</v>
      </c>
      <c r="DC34" s="24">
        <f t="shared" si="50"/>
        <v>9859737</v>
      </c>
      <c r="DD34" s="24">
        <f t="shared" si="50"/>
        <v>0</v>
      </c>
      <c r="DE34" s="24">
        <f>W34-CJ34</f>
        <v>45427753</v>
      </c>
      <c r="DF34" s="24">
        <f t="shared" si="53"/>
        <v>0</v>
      </c>
      <c r="DG34" s="24">
        <f t="shared" si="53"/>
        <v>0</v>
      </c>
      <c r="DH34" s="24">
        <f t="shared" si="53"/>
        <v>0</v>
      </c>
      <c r="DJ34" s="77"/>
      <c r="DK34" s="77"/>
      <c r="DL34" s="196">
        <f t="shared" si="43"/>
        <v>161295383</v>
      </c>
      <c r="DM34" s="197">
        <f t="shared" si="44"/>
        <v>106007893</v>
      </c>
      <c r="DN34" s="77"/>
    </row>
    <row r="35" spans="1:118" ht="30" hidden="1" x14ac:dyDescent="0.25">
      <c r="A35" s="238" t="s">
        <v>87</v>
      </c>
      <c r="B35" s="231" t="s">
        <v>123</v>
      </c>
      <c r="C35" s="20" t="s">
        <v>124</v>
      </c>
      <c r="D35" s="21" t="s">
        <v>125</v>
      </c>
      <c r="E35" s="64">
        <v>410</v>
      </c>
      <c r="F35" s="23" t="s">
        <v>91</v>
      </c>
      <c r="G35" s="24">
        <f t="shared" si="31"/>
        <v>55000000</v>
      </c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>
        <v>55000000</v>
      </c>
      <c r="V35" s="24"/>
      <c r="W35" s="24"/>
      <c r="X35" s="24"/>
      <c r="Y35" s="24"/>
      <c r="Z35" s="24"/>
      <c r="AA35" s="25">
        <f t="shared" si="1"/>
        <v>0.5604268545454546</v>
      </c>
      <c r="AB35" s="24">
        <f t="shared" si="32"/>
        <v>30823477</v>
      </c>
      <c r="AC35" s="24"/>
      <c r="AD35" s="24"/>
      <c r="AE35" s="24"/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>
        <f>+'[1]SEPTIEMBRE 2016'!$Y$1458</f>
        <v>30823477</v>
      </c>
      <c r="AR35" s="24"/>
      <c r="AS35" s="24"/>
      <c r="AT35" s="24"/>
      <c r="AU35" s="24"/>
      <c r="AV35" s="24"/>
      <c r="AW35" s="25">
        <f t="shared" si="3"/>
        <v>0.4395731454545454</v>
      </c>
      <c r="AX35" s="24">
        <f t="shared" si="33"/>
        <v>24176523</v>
      </c>
      <c r="AY35" s="24">
        <f t="shared" si="45"/>
        <v>0</v>
      </c>
      <c r="AZ35" s="24">
        <f t="shared" si="34"/>
        <v>0</v>
      </c>
      <c r="BA35" s="24">
        <f t="shared" si="34"/>
        <v>0</v>
      </c>
      <c r="BB35" s="24">
        <f t="shared" si="46"/>
        <v>0</v>
      </c>
      <c r="BC35" s="24">
        <f t="shared" si="46"/>
        <v>0</v>
      </c>
      <c r="BD35" s="24">
        <f t="shared" si="46"/>
        <v>0</v>
      </c>
      <c r="BE35" s="24">
        <f t="shared" si="46"/>
        <v>0</v>
      </c>
      <c r="BF35" s="24">
        <f t="shared" si="46"/>
        <v>0</v>
      </c>
      <c r="BG35" s="24">
        <f t="shared" si="46"/>
        <v>0</v>
      </c>
      <c r="BH35" s="24">
        <f t="shared" si="46"/>
        <v>0</v>
      </c>
      <c r="BI35" s="24">
        <f t="shared" si="46"/>
        <v>0</v>
      </c>
      <c r="BJ35" s="24">
        <f t="shared" si="46"/>
        <v>0</v>
      </c>
      <c r="BK35" s="24">
        <f>+T35-AP35</f>
        <v>0</v>
      </c>
      <c r="BL35" s="24">
        <f t="shared" si="46"/>
        <v>24176523</v>
      </c>
      <c r="BM35" s="24">
        <f t="shared" si="46"/>
        <v>0</v>
      </c>
      <c r="BN35" s="24"/>
      <c r="BO35" s="24"/>
      <c r="BP35" s="24"/>
      <c r="BQ35" s="24">
        <f t="shared" si="47"/>
        <v>0</v>
      </c>
      <c r="BR35" s="25">
        <f t="shared" si="10"/>
        <v>0.55918343636363632</v>
      </c>
      <c r="BS35" s="24">
        <f t="shared" si="36"/>
        <v>30755089</v>
      </c>
      <c r="BT35" s="24"/>
      <c r="BU35" s="24"/>
      <c r="BV35" s="24"/>
      <c r="BW35" s="24"/>
      <c r="BX35" s="24"/>
      <c r="BY35" s="24"/>
      <c r="BZ35" s="24"/>
      <c r="CA35" s="24"/>
      <c r="CB35" s="24"/>
      <c r="CC35" s="24"/>
      <c r="CD35" s="24"/>
      <c r="CE35" s="24"/>
      <c r="CF35" s="24"/>
      <c r="CG35" s="24"/>
      <c r="CH35" s="24">
        <f>+'[1]SEPTIEMBRE 2016'!$H$1456</f>
        <v>30755089</v>
      </c>
      <c r="CI35" s="24"/>
      <c r="CJ35" s="24"/>
      <c r="CK35" s="24"/>
      <c r="CL35" s="24"/>
      <c r="CM35" s="24"/>
      <c r="CN35" s="25">
        <f t="shared" si="12"/>
        <v>0.44081656363636368</v>
      </c>
      <c r="CO35" s="24">
        <f t="shared" si="37"/>
        <v>24244911</v>
      </c>
      <c r="CP35" s="24">
        <f t="shared" si="48"/>
        <v>0</v>
      </c>
      <c r="CQ35" s="24">
        <f t="shared" si="38"/>
        <v>0</v>
      </c>
      <c r="CR35" s="24">
        <f t="shared" si="38"/>
        <v>0</v>
      </c>
      <c r="CS35" s="24">
        <f t="shared" si="38"/>
        <v>0</v>
      </c>
      <c r="CT35" s="24">
        <f t="shared" si="38"/>
        <v>0</v>
      </c>
      <c r="CU35" s="24">
        <f t="shared" si="38"/>
        <v>0</v>
      </c>
      <c r="CV35" s="24">
        <f t="shared" si="49"/>
        <v>0</v>
      </c>
      <c r="CW35" s="24">
        <f t="shared" si="49"/>
        <v>0</v>
      </c>
      <c r="CX35" s="24">
        <f t="shared" si="49"/>
        <v>0</v>
      </c>
      <c r="CY35" s="24">
        <f t="shared" si="50"/>
        <v>0</v>
      </c>
      <c r="CZ35" s="24">
        <f t="shared" si="50"/>
        <v>0</v>
      </c>
      <c r="DA35" s="24">
        <f t="shared" si="50"/>
        <v>0</v>
      </c>
      <c r="DB35" s="24">
        <f t="shared" ref="DB35:DD37" si="54">+T35-CG35</f>
        <v>0</v>
      </c>
      <c r="DC35" s="24">
        <f t="shared" si="54"/>
        <v>24244911</v>
      </c>
      <c r="DD35" s="24">
        <f t="shared" si="54"/>
        <v>0</v>
      </c>
      <c r="DE35" s="24"/>
      <c r="DF35" s="24">
        <f>+X35-CK35</f>
        <v>0</v>
      </c>
      <c r="DG35" s="24">
        <f t="shared" si="53"/>
        <v>0</v>
      </c>
      <c r="DH35" s="24">
        <f>+Z35-CM35</f>
        <v>0</v>
      </c>
      <c r="DJ35" s="77"/>
      <c r="DK35" s="77"/>
      <c r="DL35" s="196">
        <f t="shared" si="43"/>
        <v>55000000</v>
      </c>
      <c r="DM35" s="197">
        <f t="shared" si="44"/>
        <v>30755089</v>
      </c>
      <c r="DN35" s="77"/>
    </row>
    <row r="36" spans="1:118" ht="36.75" hidden="1" customHeight="1" x14ac:dyDescent="0.25">
      <c r="A36" s="238"/>
      <c r="B36" s="232"/>
      <c r="C36" s="20" t="s">
        <v>126</v>
      </c>
      <c r="D36" s="21" t="s">
        <v>127</v>
      </c>
      <c r="E36" s="22">
        <v>410</v>
      </c>
      <c r="F36" s="23" t="s">
        <v>128</v>
      </c>
      <c r="G36" s="24">
        <f t="shared" si="31"/>
        <v>53000000</v>
      </c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>
        <v>50000000</v>
      </c>
      <c r="V36" s="24"/>
      <c r="W36" s="24"/>
      <c r="X36" s="24"/>
      <c r="Y36" s="24"/>
      <c r="Z36" s="24">
        <v>3000000</v>
      </c>
      <c r="AA36" s="25">
        <f t="shared" si="1"/>
        <v>0.52459220754716984</v>
      </c>
      <c r="AB36" s="24">
        <f t="shared" si="32"/>
        <v>27803387</v>
      </c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>
        <f>+'[1]SEPTIEMBRE 2016'!$Y$1497</f>
        <v>26903387</v>
      </c>
      <c r="AR36" s="24"/>
      <c r="AS36" s="24"/>
      <c r="AT36" s="24"/>
      <c r="AU36" s="24"/>
      <c r="AV36" s="24">
        <f>+'[4]AGOSTO 2016'!$AG$1231</f>
        <v>900000</v>
      </c>
      <c r="AW36" s="25">
        <f t="shared" si="3"/>
        <v>0.47540779245283016</v>
      </c>
      <c r="AX36" s="24">
        <f t="shared" si="33"/>
        <v>25196613</v>
      </c>
      <c r="AY36" s="24">
        <f t="shared" si="45"/>
        <v>0</v>
      </c>
      <c r="AZ36" s="24">
        <f t="shared" si="34"/>
        <v>0</v>
      </c>
      <c r="BA36" s="24">
        <f t="shared" si="34"/>
        <v>0</v>
      </c>
      <c r="BB36" s="24">
        <f t="shared" si="46"/>
        <v>0</v>
      </c>
      <c r="BC36" s="24">
        <f t="shared" si="46"/>
        <v>0</v>
      </c>
      <c r="BD36" s="24">
        <f t="shared" si="46"/>
        <v>0</v>
      </c>
      <c r="BE36" s="24">
        <f t="shared" si="46"/>
        <v>0</v>
      </c>
      <c r="BF36" s="24">
        <f t="shared" si="46"/>
        <v>0</v>
      </c>
      <c r="BG36" s="24">
        <f t="shared" si="46"/>
        <v>0</v>
      </c>
      <c r="BH36" s="24">
        <f t="shared" si="46"/>
        <v>0</v>
      </c>
      <c r="BI36" s="24">
        <f t="shared" si="46"/>
        <v>0</v>
      </c>
      <c r="BJ36" s="24">
        <f t="shared" si="46"/>
        <v>0</v>
      </c>
      <c r="BK36" s="24">
        <f>+T36-AP36</f>
        <v>0</v>
      </c>
      <c r="BL36" s="24">
        <f t="shared" si="46"/>
        <v>23096613</v>
      </c>
      <c r="BM36" s="24">
        <f t="shared" si="46"/>
        <v>0</v>
      </c>
      <c r="BN36" s="24"/>
      <c r="BO36" s="24"/>
      <c r="BP36" s="24"/>
      <c r="BQ36" s="24">
        <f t="shared" si="47"/>
        <v>2100000</v>
      </c>
      <c r="BR36" s="25">
        <f t="shared" si="10"/>
        <v>0.46935713207547169</v>
      </c>
      <c r="BS36" s="24">
        <f t="shared" si="36"/>
        <v>24875928</v>
      </c>
      <c r="BT36" s="24"/>
      <c r="BU36" s="24"/>
      <c r="BV36" s="24"/>
      <c r="BW36" s="24"/>
      <c r="BX36" s="24"/>
      <c r="BY36" s="24"/>
      <c r="BZ36" s="24"/>
      <c r="CA36" s="24"/>
      <c r="CB36" s="24"/>
      <c r="CC36" s="24"/>
      <c r="CD36" s="24"/>
      <c r="CE36" s="24"/>
      <c r="CF36" s="24"/>
      <c r="CG36" s="24"/>
      <c r="CH36" s="24">
        <f>+'[1]SEPTIEMBRE 2016'!$H$1495-CM36</f>
        <v>23975928</v>
      </c>
      <c r="CI36" s="24"/>
      <c r="CJ36" s="24"/>
      <c r="CK36" s="24"/>
      <c r="CL36" s="24"/>
      <c r="CM36" s="24">
        <v>900000</v>
      </c>
      <c r="CN36" s="25">
        <f t="shared" si="12"/>
        <v>0.53064286792452831</v>
      </c>
      <c r="CO36" s="24">
        <f t="shared" si="37"/>
        <v>28124072</v>
      </c>
      <c r="CP36" s="24">
        <f t="shared" si="48"/>
        <v>0</v>
      </c>
      <c r="CQ36" s="24">
        <f t="shared" si="38"/>
        <v>0</v>
      </c>
      <c r="CR36" s="24">
        <f t="shared" si="38"/>
        <v>0</v>
      </c>
      <c r="CS36" s="24">
        <f t="shared" si="38"/>
        <v>0</v>
      </c>
      <c r="CT36" s="24">
        <f t="shared" si="38"/>
        <v>0</v>
      </c>
      <c r="CU36" s="24">
        <f t="shared" si="38"/>
        <v>0</v>
      </c>
      <c r="CV36" s="24">
        <f t="shared" si="49"/>
        <v>0</v>
      </c>
      <c r="CW36" s="24">
        <f t="shared" si="49"/>
        <v>0</v>
      </c>
      <c r="CX36" s="24">
        <f t="shared" si="49"/>
        <v>0</v>
      </c>
      <c r="CY36" s="24">
        <f t="shared" si="50"/>
        <v>0</v>
      </c>
      <c r="CZ36" s="24">
        <f t="shared" si="50"/>
        <v>0</v>
      </c>
      <c r="DA36" s="24">
        <f t="shared" si="50"/>
        <v>0</v>
      </c>
      <c r="DB36" s="24">
        <f t="shared" si="54"/>
        <v>0</v>
      </c>
      <c r="DC36" s="24">
        <f t="shared" si="54"/>
        <v>26024072</v>
      </c>
      <c r="DD36" s="24">
        <f t="shared" si="54"/>
        <v>0</v>
      </c>
      <c r="DE36" s="24"/>
      <c r="DF36" s="24">
        <f>+X36-CK36</f>
        <v>0</v>
      </c>
      <c r="DG36" s="24">
        <f t="shared" si="53"/>
        <v>0</v>
      </c>
      <c r="DH36" s="24">
        <f>+Z36-CM36</f>
        <v>2100000</v>
      </c>
      <c r="DJ36" s="77"/>
      <c r="DK36" s="77"/>
      <c r="DL36" s="196">
        <f t="shared" si="43"/>
        <v>53000000</v>
      </c>
      <c r="DM36" s="197">
        <f t="shared" si="44"/>
        <v>24875928</v>
      </c>
      <c r="DN36" s="77"/>
    </row>
    <row r="37" spans="1:118" ht="21" hidden="1" customHeight="1" x14ac:dyDescent="0.25">
      <c r="A37" s="238"/>
      <c r="B37" s="232"/>
      <c r="C37" s="20" t="s">
        <v>129</v>
      </c>
      <c r="D37" s="21" t="s">
        <v>130</v>
      </c>
      <c r="E37" s="22">
        <v>410</v>
      </c>
      <c r="F37" s="23" t="s">
        <v>91</v>
      </c>
      <c r="G37" s="24">
        <f t="shared" si="31"/>
        <v>34794000</v>
      </c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>
        <f>40000000-5206000</f>
        <v>34794000</v>
      </c>
      <c r="V37" s="24"/>
      <c r="W37" s="24"/>
      <c r="X37" s="24"/>
      <c r="Y37" s="24"/>
      <c r="Z37" s="24"/>
      <c r="AA37" s="25">
        <f t="shared" si="1"/>
        <v>1</v>
      </c>
      <c r="AB37" s="24">
        <f t="shared" si="32"/>
        <v>34794000</v>
      </c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>
        <f>+'[4]AGOSTO 2016'!$Y$1264</f>
        <v>34794000</v>
      </c>
      <c r="AR37" s="24"/>
      <c r="AS37" s="24"/>
      <c r="AT37" s="24"/>
      <c r="AU37" s="24"/>
      <c r="AV37" s="24"/>
      <c r="AW37" s="25">
        <f t="shared" si="3"/>
        <v>0</v>
      </c>
      <c r="AX37" s="24">
        <f t="shared" si="33"/>
        <v>0</v>
      </c>
      <c r="AY37" s="24">
        <f t="shared" si="45"/>
        <v>0</v>
      </c>
      <c r="AZ37" s="24">
        <f t="shared" si="45"/>
        <v>0</v>
      </c>
      <c r="BA37" s="24">
        <f t="shared" si="45"/>
        <v>0</v>
      </c>
      <c r="BB37" s="24">
        <f t="shared" si="46"/>
        <v>0</v>
      </c>
      <c r="BC37" s="24">
        <f t="shared" si="46"/>
        <v>0</v>
      </c>
      <c r="BD37" s="24">
        <f t="shared" si="46"/>
        <v>0</v>
      </c>
      <c r="BE37" s="24">
        <f t="shared" si="46"/>
        <v>0</v>
      </c>
      <c r="BF37" s="24">
        <f t="shared" si="46"/>
        <v>0</v>
      </c>
      <c r="BG37" s="24">
        <f t="shared" si="46"/>
        <v>0</v>
      </c>
      <c r="BH37" s="24">
        <f t="shared" si="46"/>
        <v>0</v>
      </c>
      <c r="BI37" s="24">
        <f t="shared" si="46"/>
        <v>0</v>
      </c>
      <c r="BJ37" s="24">
        <f t="shared" si="46"/>
        <v>0</v>
      </c>
      <c r="BK37" s="24">
        <f>+T37-AP37</f>
        <v>0</v>
      </c>
      <c r="BL37" s="24">
        <f t="shared" si="46"/>
        <v>0</v>
      </c>
      <c r="BM37" s="24">
        <f t="shared" si="46"/>
        <v>0</v>
      </c>
      <c r="BN37" s="24"/>
      <c r="BO37" s="24"/>
      <c r="BP37" s="24"/>
      <c r="BQ37" s="24">
        <f t="shared" si="47"/>
        <v>0</v>
      </c>
      <c r="BR37" s="25">
        <f t="shared" si="10"/>
        <v>0.8322222222222222</v>
      </c>
      <c r="BS37" s="24">
        <f t="shared" si="36"/>
        <v>28956340</v>
      </c>
      <c r="BT37" s="24"/>
      <c r="BU37" s="24"/>
      <c r="BV37" s="24"/>
      <c r="BW37" s="24"/>
      <c r="BX37" s="24"/>
      <c r="BY37" s="24"/>
      <c r="BZ37" s="24"/>
      <c r="CA37" s="24"/>
      <c r="CB37" s="24"/>
      <c r="CC37" s="24"/>
      <c r="CD37" s="24"/>
      <c r="CE37" s="24"/>
      <c r="CF37" s="24"/>
      <c r="CG37" s="24"/>
      <c r="CH37" s="24">
        <f>+'[1]SEPTIEMBRE 2016'!$H$1539</f>
        <v>28956340</v>
      </c>
      <c r="CI37" s="24"/>
      <c r="CJ37" s="24"/>
      <c r="CK37" s="24"/>
      <c r="CL37" s="24"/>
      <c r="CM37" s="24"/>
      <c r="CN37" s="25">
        <f t="shared" si="12"/>
        <v>0.1677777777777778</v>
      </c>
      <c r="CO37" s="24">
        <f t="shared" si="37"/>
        <v>5837660</v>
      </c>
      <c r="CP37" s="24">
        <f t="shared" si="48"/>
        <v>0</v>
      </c>
      <c r="CQ37" s="24">
        <f t="shared" si="48"/>
        <v>0</v>
      </c>
      <c r="CR37" s="24">
        <f t="shared" si="48"/>
        <v>0</v>
      </c>
      <c r="CS37" s="24">
        <f t="shared" si="48"/>
        <v>0</v>
      </c>
      <c r="CT37" s="24">
        <f t="shared" si="48"/>
        <v>0</v>
      </c>
      <c r="CU37" s="24">
        <f t="shared" si="48"/>
        <v>0</v>
      </c>
      <c r="CV37" s="24">
        <f t="shared" si="49"/>
        <v>0</v>
      </c>
      <c r="CW37" s="24">
        <f t="shared" si="49"/>
        <v>0</v>
      </c>
      <c r="CX37" s="24">
        <f t="shared" si="49"/>
        <v>0</v>
      </c>
      <c r="CY37" s="24">
        <f t="shared" si="50"/>
        <v>0</v>
      </c>
      <c r="CZ37" s="24">
        <f t="shared" si="50"/>
        <v>0</v>
      </c>
      <c r="DA37" s="24">
        <f t="shared" si="50"/>
        <v>0</v>
      </c>
      <c r="DB37" s="24">
        <f t="shared" si="54"/>
        <v>0</v>
      </c>
      <c r="DC37" s="24">
        <f t="shared" si="54"/>
        <v>5837660</v>
      </c>
      <c r="DD37" s="24">
        <f t="shared" si="54"/>
        <v>0</v>
      </c>
      <c r="DE37" s="24"/>
      <c r="DF37" s="24">
        <f>+X37-CK37</f>
        <v>0</v>
      </c>
      <c r="DG37" s="24">
        <f t="shared" si="53"/>
        <v>0</v>
      </c>
      <c r="DH37" s="24">
        <f>+Z37-CM37</f>
        <v>0</v>
      </c>
      <c r="DJ37" s="77"/>
      <c r="DK37" s="77"/>
      <c r="DL37" s="196">
        <f t="shared" si="43"/>
        <v>34794000</v>
      </c>
      <c r="DM37" s="197">
        <f t="shared" si="44"/>
        <v>28956340</v>
      </c>
      <c r="DN37" s="77"/>
    </row>
    <row r="38" spans="1:118" ht="18.75" hidden="1" customHeight="1" x14ac:dyDescent="0.25">
      <c r="A38" s="238"/>
      <c r="B38" s="233"/>
      <c r="C38" s="20" t="s">
        <v>131</v>
      </c>
      <c r="D38" s="21" t="s">
        <v>132</v>
      </c>
      <c r="E38" s="22">
        <v>410</v>
      </c>
      <c r="F38" s="23" t="s">
        <v>91</v>
      </c>
      <c r="G38" s="24">
        <f t="shared" si="31"/>
        <v>105000000</v>
      </c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>
        <v>105000000</v>
      </c>
      <c r="V38" s="24"/>
      <c r="W38" s="24"/>
      <c r="X38" s="24"/>
      <c r="Y38" s="24"/>
      <c r="Z38" s="24"/>
      <c r="AA38" s="25">
        <f t="shared" si="1"/>
        <v>1</v>
      </c>
      <c r="AB38" s="24">
        <f t="shared" si="32"/>
        <v>105000000</v>
      </c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>
        <f>+'[6]JUNIO 2016'!$Y$953</f>
        <v>105000000</v>
      </c>
      <c r="AR38" s="24"/>
      <c r="AS38" s="24"/>
      <c r="AT38" s="24"/>
      <c r="AU38" s="24"/>
      <c r="AV38" s="24"/>
      <c r="AW38" s="25">
        <f t="shared" si="3"/>
        <v>0</v>
      </c>
      <c r="AX38" s="24">
        <f t="shared" si="33"/>
        <v>0</v>
      </c>
      <c r="AY38" s="24">
        <f t="shared" si="45"/>
        <v>0</v>
      </c>
      <c r="AZ38" s="24">
        <f t="shared" si="45"/>
        <v>0</v>
      </c>
      <c r="BA38" s="24">
        <f t="shared" si="45"/>
        <v>0</v>
      </c>
      <c r="BB38" s="24">
        <f t="shared" si="45"/>
        <v>0</v>
      </c>
      <c r="BC38" s="24">
        <f t="shared" si="45"/>
        <v>0</v>
      </c>
      <c r="BD38" s="24">
        <f t="shared" si="45"/>
        <v>0</v>
      </c>
      <c r="BE38" s="24">
        <f t="shared" si="45"/>
        <v>0</v>
      </c>
      <c r="BF38" s="24">
        <f t="shared" si="45"/>
        <v>0</v>
      </c>
      <c r="BG38" s="24">
        <f t="shared" si="45"/>
        <v>0</v>
      </c>
      <c r="BH38" s="24">
        <f t="shared" si="45"/>
        <v>0</v>
      </c>
      <c r="BI38" s="24">
        <f t="shared" si="45"/>
        <v>0</v>
      </c>
      <c r="BJ38" s="24">
        <f t="shared" si="45"/>
        <v>0</v>
      </c>
      <c r="BK38" s="24">
        <f t="shared" si="45"/>
        <v>0</v>
      </c>
      <c r="BL38" s="24">
        <f t="shared" si="45"/>
        <v>0</v>
      </c>
      <c r="BM38" s="24">
        <f t="shared" si="45"/>
        <v>0</v>
      </c>
      <c r="BN38" s="24"/>
      <c r="BO38" s="24">
        <f>X38-AT38</f>
        <v>0</v>
      </c>
      <c r="BP38" s="24">
        <f>Y38-AU38</f>
        <v>0</v>
      </c>
      <c r="BQ38" s="24">
        <f>Z38-AV38</f>
        <v>0</v>
      </c>
      <c r="BR38" s="25">
        <f t="shared" si="10"/>
        <v>1</v>
      </c>
      <c r="BS38" s="24">
        <f t="shared" si="36"/>
        <v>105000000</v>
      </c>
      <c r="BT38" s="24"/>
      <c r="BU38" s="24"/>
      <c r="BV38" s="24"/>
      <c r="BW38" s="24"/>
      <c r="BX38" s="24"/>
      <c r="BY38" s="24"/>
      <c r="BZ38" s="24"/>
      <c r="CA38" s="24"/>
      <c r="CB38" s="24"/>
      <c r="CC38" s="24"/>
      <c r="CD38" s="24"/>
      <c r="CE38" s="24"/>
      <c r="CF38" s="24"/>
      <c r="CG38" s="24"/>
      <c r="CH38" s="24">
        <f>+'[6]JUNIO 2016'!$H$951</f>
        <v>105000000</v>
      </c>
      <c r="CI38" s="24"/>
      <c r="CJ38" s="24"/>
      <c r="CK38" s="24"/>
      <c r="CL38" s="24"/>
      <c r="CM38" s="24"/>
      <c r="CN38" s="25">
        <f t="shared" si="12"/>
        <v>0</v>
      </c>
      <c r="CO38" s="24">
        <f t="shared" si="37"/>
        <v>0</v>
      </c>
      <c r="CP38" s="24">
        <f t="shared" si="48"/>
        <v>0</v>
      </c>
      <c r="CQ38" s="24">
        <f t="shared" si="48"/>
        <v>0</v>
      </c>
      <c r="CR38" s="24">
        <f t="shared" si="48"/>
        <v>0</v>
      </c>
      <c r="CS38" s="24">
        <f t="shared" si="48"/>
        <v>0</v>
      </c>
      <c r="CT38" s="24">
        <f t="shared" si="48"/>
        <v>0</v>
      </c>
      <c r="CU38" s="24">
        <f t="shared" si="48"/>
        <v>0</v>
      </c>
      <c r="CV38" s="24">
        <f>N38-CA38</f>
        <v>0</v>
      </c>
      <c r="CW38" s="24">
        <f>O38-CB38</f>
        <v>0</v>
      </c>
      <c r="CX38" s="24">
        <f>P38-CC38</f>
        <v>0</v>
      </c>
      <c r="CY38" s="24">
        <f t="shared" si="50"/>
        <v>0</v>
      </c>
      <c r="CZ38" s="24">
        <f t="shared" si="50"/>
        <v>0</v>
      </c>
      <c r="DA38" s="24">
        <f t="shared" si="50"/>
        <v>0</v>
      </c>
      <c r="DB38" s="24">
        <f>T38-CG38</f>
        <v>0</v>
      </c>
      <c r="DC38" s="24">
        <f>U38-CH38</f>
        <v>0</v>
      </c>
      <c r="DD38" s="24">
        <f>V38-CI38</f>
        <v>0</v>
      </c>
      <c r="DE38" s="24"/>
      <c r="DF38" s="24">
        <f>X38-CK38</f>
        <v>0</v>
      </c>
      <c r="DG38" s="24">
        <f t="shared" si="53"/>
        <v>0</v>
      </c>
      <c r="DH38" s="24">
        <f>Z38-CM38</f>
        <v>0</v>
      </c>
      <c r="DJ38" s="77"/>
      <c r="DK38" s="77"/>
      <c r="DL38" s="196">
        <f t="shared" si="43"/>
        <v>105000000</v>
      </c>
      <c r="DM38" s="197">
        <f t="shared" si="44"/>
        <v>105000000</v>
      </c>
      <c r="DN38" s="77"/>
    </row>
    <row r="39" spans="1:118" ht="33.75" hidden="1" customHeight="1" x14ac:dyDescent="0.25">
      <c r="A39" s="238"/>
      <c r="B39" s="231" t="s">
        <v>133</v>
      </c>
      <c r="C39" s="20" t="s">
        <v>134</v>
      </c>
      <c r="D39" s="21" t="s">
        <v>135</v>
      </c>
      <c r="E39" s="22">
        <v>410</v>
      </c>
      <c r="F39" s="23" t="s">
        <v>91</v>
      </c>
      <c r="G39" s="24">
        <f t="shared" si="31"/>
        <v>280000000</v>
      </c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>
        <v>280000000</v>
      </c>
      <c r="T39" s="24"/>
      <c r="U39" s="24"/>
      <c r="V39" s="24"/>
      <c r="W39" s="24"/>
      <c r="X39" s="24"/>
      <c r="Y39" s="24"/>
      <c r="Z39" s="24"/>
      <c r="AA39" s="25">
        <f t="shared" si="1"/>
        <v>0.75731989642857145</v>
      </c>
      <c r="AB39" s="24">
        <f t="shared" si="32"/>
        <v>212049571</v>
      </c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>
        <f>+'[1]SEPTIEMBRE 2016'!$W$1577</f>
        <v>212049571</v>
      </c>
      <c r="AP39" s="24"/>
      <c r="AQ39" s="24"/>
      <c r="AR39" s="24"/>
      <c r="AS39" s="24"/>
      <c r="AT39" s="24"/>
      <c r="AU39" s="24"/>
      <c r="AV39" s="24"/>
      <c r="AW39" s="25">
        <f t="shared" si="3"/>
        <v>0.24268010357142855</v>
      </c>
      <c r="AX39" s="24">
        <f t="shared" si="33"/>
        <v>67950429</v>
      </c>
      <c r="AY39" s="24">
        <f t="shared" si="45"/>
        <v>0</v>
      </c>
      <c r="AZ39" s="24">
        <f t="shared" si="45"/>
        <v>0</v>
      </c>
      <c r="BA39" s="24">
        <f t="shared" si="45"/>
        <v>0</v>
      </c>
      <c r="BB39" s="24">
        <f t="shared" ref="BB39:BM54" si="55">+K39-AG39</f>
        <v>0</v>
      </c>
      <c r="BC39" s="24">
        <f t="shared" si="55"/>
        <v>0</v>
      </c>
      <c r="BD39" s="24">
        <f t="shared" si="55"/>
        <v>0</v>
      </c>
      <c r="BE39" s="24">
        <f t="shared" si="55"/>
        <v>0</v>
      </c>
      <c r="BF39" s="24">
        <f t="shared" si="55"/>
        <v>0</v>
      </c>
      <c r="BG39" s="24">
        <f t="shared" si="55"/>
        <v>0</v>
      </c>
      <c r="BH39" s="24">
        <f t="shared" si="55"/>
        <v>0</v>
      </c>
      <c r="BI39" s="24">
        <f t="shared" si="55"/>
        <v>0</v>
      </c>
      <c r="BJ39" s="24">
        <f t="shared" si="55"/>
        <v>67950429</v>
      </c>
      <c r="BK39" s="24">
        <f t="shared" si="55"/>
        <v>0</v>
      </c>
      <c r="BL39" s="24">
        <f t="shared" si="55"/>
        <v>0</v>
      </c>
      <c r="BM39" s="24">
        <f t="shared" si="55"/>
        <v>0</v>
      </c>
      <c r="BN39" s="24"/>
      <c r="BO39" s="24"/>
      <c r="BP39" s="24">
        <f t="shared" ref="BP39:BP59" si="56">Y39-AU39</f>
        <v>0</v>
      </c>
      <c r="BQ39" s="24">
        <f t="shared" ref="BQ39:BQ59" si="57">+Z39-AV39</f>
        <v>0</v>
      </c>
      <c r="BR39" s="25">
        <f t="shared" si="10"/>
        <v>0.70542703928571426</v>
      </c>
      <c r="BS39" s="24">
        <f t="shared" si="36"/>
        <v>197519571</v>
      </c>
      <c r="BT39" s="24"/>
      <c r="BU39" s="24"/>
      <c r="BV39" s="24"/>
      <c r="BW39" s="24"/>
      <c r="BX39" s="24"/>
      <c r="BY39" s="24"/>
      <c r="BZ39" s="24"/>
      <c r="CA39" s="24"/>
      <c r="CB39" s="24"/>
      <c r="CC39" s="24"/>
      <c r="CD39" s="24"/>
      <c r="CE39" s="24"/>
      <c r="CF39" s="24">
        <f>+'[1]SEPTIEMBRE 2016'!$H$1575</f>
        <v>197519571</v>
      </c>
      <c r="CG39" s="24"/>
      <c r="CH39" s="24"/>
      <c r="CI39" s="24"/>
      <c r="CJ39" s="24"/>
      <c r="CK39" s="24"/>
      <c r="CL39" s="24"/>
      <c r="CM39" s="24"/>
      <c r="CN39" s="25">
        <f t="shared" si="12"/>
        <v>0.29457296071428574</v>
      </c>
      <c r="CO39" s="24">
        <f t="shared" si="37"/>
        <v>82480429</v>
      </c>
      <c r="CP39" s="24">
        <f t="shared" si="48"/>
        <v>0</v>
      </c>
      <c r="CQ39" s="24">
        <f t="shared" si="48"/>
        <v>0</v>
      </c>
      <c r="CR39" s="24">
        <f t="shared" si="48"/>
        <v>0</v>
      </c>
      <c r="CS39" s="24">
        <f t="shared" si="48"/>
        <v>0</v>
      </c>
      <c r="CT39" s="24">
        <f t="shared" si="48"/>
        <v>0</v>
      </c>
      <c r="CU39" s="24">
        <f t="shared" si="48"/>
        <v>0</v>
      </c>
      <c r="CV39" s="24">
        <f t="shared" ref="CV39:DA50" si="58">+N39-CA39</f>
        <v>0</v>
      </c>
      <c r="CW39" s="24">
        <f t="shared" si="58"/>
        <v>0</v>
      </c>
      <c r="CX39" s="24">
        <f t="shared" si="58"/>
        <v>0</v>
      </c>
      <c r="CY39" s="24">
        <f t="shared" si="50"/>
        <v>0</v>
      </c>
      <c r="CZ39" s="24">
        <f t="shared" si="50"/>
        <v>0</v>
      </c>
      <c r="DA39" s="24">
        <f t="shared" si="50"/>
        <v>82480429</v>
      </c>
      <c r="DB39" s="24">
        <f t="shared" ref="DB39:DD50" si="59">+T39-CG39</f>
        <v>0</v>
      </c>
      <c r="DC39" s="24">
        <f t="shared" si="59"/>
        <v>0</v>
      </c>
      <c r="DD39" s="24">
        <f t="shared" si="59"/>
        <v>0</v>
      </c>
      <c r="DE39" s="24"/>
      <c r="DF39" s="24">
        <f t="shared" ref="DF39:DF50" si="60">+X39-CK39</f>
        <v>0</v>
      </c>
      <c r="DG39" s="24">
        <f t="shared" si="53"/>
        <v>0</v>
      </c>
      <c r="DH39" s="24">
        <f t="shared" ref="DH39:DH50" si="61">+Z39-CM39</f>
        <v>0</v>
      </c>
      <c r="DJ39" s="77"/>
      <c r="DK39" s="77"/>
      <c r="DL39" s="196">
        <f t="shared" si="43"/>
        <v>280000000</v>
      </c>
      <c r="DM39" s="197">
        <f t="shared" si="44"/>
        <v>197519571</v>
      </c>
      <c r="DN39" s="77"/>
    </row>
    <row r="40" spans="1:118" ht="42" hidden="1" customHeight="1" x14ac:dyDescent="0.25">
      <c r="A40" s="238"/>
      <c r="B40" s="232"/>
      <c r="C40" s="20" t="s">
        <v>136</v>
      </c>
      <c r="D40" s="53" t="s">
        <v>137</v>
      </c>
      <c r="E40" s="22">
        <v>410</v>
      </c>
      <c r="F40" s="23" t="s">
        <v>138</v>
      </c>
      <c r="G40" s="24">
        <f t="shared" si="31"/>
        <v>178627198</v>
      </c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>
        <v>7696735</v>
      </c>
      <c r="T40" s="24"/>
      <c r="U40" s="24">
        <v>147930463</v>
      </c>
      <c r="V40" s="24"/>
      <c r="W40" s="24"/>
      <c r="X40" s="24"/>
      <c r="Y40" s="54"/>
      <c r="Z40" s="54">
        <f>35000000+3000000-15000000</f>
        <v>23000000</v>
      </c>
      <c r="AA40" s="25">
        <f t="shared" si="1"/>
        <v>0.66904550000274876</v>
      </c>
      <c r="AB40" s="24">
        <f t="shared" si="32"/>
        <v>119509723</v>
      </c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4">
        <f>+'[6]JUNIO 2016'!$W$1028</f>
        <v>7654735</v>
      </c>
      <c r="AP40" s="24"/>
      <c r="AQ40" s="24">
        <f>+'[1]SEPTIEMBRE 2016'!$Y$1673</f>
        <v>89537065</v>
      </c>
      <c r="AR40" s="24"/>
      <c r="AS40" s="24"/>
      <c r="AT40" s="24"/>
      <c r="AU40" s="24"/>
      <c r="AV40" s="24">
        <f>+'[1]SEPTIEMBRE 2016'!$AG$1673</f>
        <v>22317923</v>
      </c>
      <c r="AW40" s="25">
        <f t="shared" si="3"/>
        <v>0.33095449999725124</v>
      </c>
      <c r="AX40" s="24">
        <f t="shared" si="33"/>
        <v>59117475</v>
      </c>
      <c r="AY40" s="24">
        <f t="shared" si="45"/>
        <v>0</v>
      </c>
      <c r="AZ40" s="24">
        <f t="shared" si="45"/>
        <v>0</v>
      </c>
      <c r="BA40" s="24">
        <f t="shared" si="45"/>
        <v>0</v>
      </c>
      <c r="BB40" s="24">
        <f t="shared" si="55"/>
        <v>0</v>
      </c>
      <c r="BC40" s="24">
        <f t="shared" si="55"/>
        <v>0</v>
      </c>
      <c r="BD40" s="24">
        <f t="shared" si="55"/>
        <v>0</v>
      </c>
      <c r="BE40" s="24">
        <f t="shared" si="55"/>
        <v>0</v>
      </c>
      <c r="BF40" s="24">
        <f t="shared" si="55"/>
        <v>0</v>
      </c>
      <c r="BG40" s="24">
        <f t="shared" si="55"/>
        <v>0</v>
      </c>
      <c r="BH40" s="24">
        <f t="shared" si="55"/>
        <v>0</v>
      </c>
      <c r="BI40" s="24">
        <f t="shared" si="55"/>
        <v>0</v>
      </c>
      <c r="BJ40" s="24">
        <f t="shared" si="55"/>
        <v>42000</v>
      </c>
      <c r="BK40" s="24">
        <f t="shared" si="55"/>
        <v>0</v>
      </c>
      <c r="BL40" s="24">
        <f t="shared" si="55"/>
        <v>58393398</v>
      </c>
      <c r="BM40" s="24">
        <f t="shared" si="55"/>
        <v>0</v>
      </c>
      <c r="BN40" s="24"/>
      <c r="BO40" s="24"/>
      <c r="BP40" s="24">
        <f t="shared" si="56"/>
        <v>0</v>
      </c>
      <c r="BQ40" s="24">
        <f t="shared" si="57"/>
        <v>682077</v>
      </c>
      <c r="BR40" s="25">
        <f t="shared" si="10"/>
        <v>0.62705800266765643</v>
      </c>
      <c r="BS40" s="24">
        <f t="shared" si="36"/>
        <v>112009614</v>
      </c>
      <c r="BT40" s="24"/>
      <c r="BU40" s="24"/>
      <c r="BV40" s="24"/>
      <c r="BW40" s="24"/>
      <c r="BX40" s="24"/>
      <c r="BY40" s="24"/>
      <c r="BZ40" s="24"/>
      <c r="CA40" s="24"/>
      <c r="CB40" s="24"/>
      <c r="CC40" s="24"/>
      <c r="CD40" s="24"/>
      <c r="CE40" s="24"/>
      <c r="CF40" s="24">
        <f>+'[7]MAYO 2016'!$H$901+'[7]MAYO 2016'!$H$904+'[7]MAYO 2016'!$H$906+'[7]MAYO 2016'!$W$908</f>
        <v>7654735</v>
      </c>
      <c r="CG40" s="24"/>
      <c r="CH40" s="24">
        <f>'[1]SEPTIEMBRE 2016'!$H$1671-CM40-CF40</f>
        <v>82036976</v>
      </c>
      <c r="CI40" s="24"/>
      <c r="CJ40" s="24"/>
      <c r="CK40" s="24"/>
      <c r="CL40" s="24"/>
      <c r="CM40" s="24">
        <f>+'[1]SEPTIEMBRE 2016'!$H$1676+'[1]SEPTIEMBRE 2016'!$H$1689+'[1]SEPTIEMBRE 2016'!$H$1691+'[1]SEPTIEMBRE 2016'!$H$1692+'[1]SEPTIEMBRE 2016'!$H$1694+'[1]SEPTIEMBRE 2016'!$H$1703+'[1]SEPTIEMBRE 2016'!$H$1712+'[1]SEPTIEMBRE 2016'!$H$1715+'[1]SEPTIEMBRE 2016'!$H$1720+'[1]SEPTIEMBRE 2016'!$H$1721+'[1]SEPTIEMBRE 2016'!$H$1723+'[1]SEPTIEMBRE 2016'!$H$1726+'[1]SEPTIEMBRE 2016'!$H$1737+'[1]SEPTIEMBRE 2016'!$H$1738+'[1]SEPTIEMBRE 2016'!$H$1739+'[1]SEPTIEMBRE 2016'!$H$1740</f>
        <v>22317903</v>
      </c>
      <c r="CN40" s="25">
        <f t="shared" si="12"/>
        <v>0.37294199733234357</v>
      </c>
      <c r="CO40" s="24">
        <f t="shared" si="37"/>
        <v>66617584</v>
      </c>
      <c r="CP40" s="24">
        <f t="shared" si="48"/>
        <v>0</v>
      </c>
      <c r="CQ40" s="24">
        <f t="shared" si="48"/>
        <v>0</v>
      </c>
      <c r="CR40" s="24">
        <f t="shared" si="48"/>
        <v>0</v>
      </c>
      <c r="CS40" s="24">
        <f t="shared" si="48"/>
        <v>0</v>
      </c>
      <c r="CT40" s="24">
        <f t="shared" si="48"/>
        <v>0</v>
      </c>
      <c r="CU40" s="24">
        <f t="shared" si="48"/>
        <v>0</v>
      </c>
      <c r="CV40" s="24">
        <f t="shared" si="58"/>
        <v>0</v>
      </c>
      <c r="CW40" s="24">
        <f t="shared" si="58"/>
        <v>0</v>
      </c>
      <c r="CX40" s="24">
        <f t="shared" si="58"/>
        <v>0</v>
      </c>
      <c r="CY40" s="24">
        <f t="shared" si="50"/>
        <v>0</v>
      </c>
      <c r="CZ40" s="24">
        <f t="shared" si="50"/>
        <v>0</v>
      </c>
      <c r="DA40" s="24">
        <f t="shared" si="50"/>
        <v>42000</v>
      </c>
      <c r="DB40" s="24">
        <f t="shared" si="59"/>
        <v>0</v>
      </c>
      <c r="DC40" s="24">
        <f t="shared" si="59"/>
        <v>65893487</v>
      </c>
      <c r="DD40" s="24">
        <f t="shared" si="59"/>
        <v>0</v>
      </c>
      <c r="DE40" s="24"/>
      <c r="DF40" s="24">
        <f t="shared" si="60"/>
        <v>0</v>
      </c>
      <c r="DG40" s="24">
        <f t="shared" si="53"/>
        <v>0</v>
      </c>
      <c r="DH40" s="24">
        <f t="shared" si="61"/>
        <v>682097</v>
      </c>
      <c r="DJ40" s="77"/>
      <c r="DK40" s="77"/>
      <c r="DL40" s="196">
        <f t="shared" si="43"/>
        <v>178627198</v>
      </c>
      <c r="DM40" s="197">
        <f t="shared" si="44"/>
        <v>112009614</v>
      </c>
      <c r="DN40" s="77"/>
    </row>
    <row r="41" spans="1:118" ht="50.25" hidden="1" customHeight="1" x14ac:dyDescent="0.25">
      <c r="A41" s="238"/>
      <c r="B41" s="232"/>
      <c r="C41" s="20" t="s">
        <v>139</v>
      </c>
      <c r="D41" s="21" t="s">
        <v>140</v>
      </c>
      <c r="E41" s="22">
        <v>410</v>
      </c>
      <c r="F41" s="23" t="s">
        <v>91</v>
      </c>
      <c r="G41" s="24">
        <f t="shared" si="31"/>
        <v>200000000</v>
      </c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>
        <v>100000000</v>
      </c>
      <c r="T41" s="24"/>
      <c r="U41" s="24"/>
      <c r="V41" s="24"/>
      <c r="W41" s="24"/>
      <c r="X41" s="24"/>
      <c r="Y41" s="54">
        <f>62258164+37741836</f>
        <v>100000000</v>
      </c>
      <c r="Z41" s="54"/>
      <c r="AA41" s="25">
        <f t="shared" si="1"/>
        <v>0.54790000000000005</v>
      </c>
      <c r="AB41" s="24">
        <f t="shared" si="32"/>
        <v>109580000</v>
      </c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>
        <f>+'[2]ENERO 2016'!$W$352</f>
        <v>100000000</v>
      </c>
      <c r="AP41" s="24"/>
      <c r="AQ41" s="24"/>
      <c r="AR41" s="24"/>
      <c r="AS41" s="24"/>
      <c r="AT41" s="24"/>
      <c r="AU41" s="24">
        <f>+'[6]JUNIO 2016'!$AF$1063</f>
        <v>9580000</v>
      </c>
      <c r="AV41" s="24"/>
      <c r="AW41" s="25">
        <f t="shared" si="3"/>
        <v>0.45209999999999995</v>
      </c>
      <c r="AX41" s="24">
        <f t="shared" si="33"/>
        <v>90420000</v>
      </c>
      <c r="AY41" s="24">
        <f t="shared" si="45"/>
        <v>0</v>
      </c>
      <c r="AZ41" s="24">
        <f t="shared" si="45"/>
        <v>0</v>
      </c>
      <c r="BA41" s="24">
        <f t="shared" si="45"/>
        <v>0</v>
      </c>
      <c r="BB41" s="24">
        <f t="shared" si="55"/>
        <v>0</v>
      </c>
      <c r="BC41" s="24">
        <f t="shared" si="55"/>
        <v>0</v>
      </c>
      <c r="BD41" s="24">
        <f t="shared" si="55"/>
        <v>0</v>
      </c>
      <c r="BE41" s="24">
        <f t="shared" si="55"/>
        <v>0</v>
      </c>
      <c r="BF41" s="24">
        <f t="shared" si="55"/>
        <v>0</v>
      </c>
      <c r="BG41" s="24">
        <f t="shared" si="55"/>
        <v>0</v>
      </c>
      <c r="BH41" s="24">
        <f t="shared" si="55"/>
        <v>0</v>
      </c>
      <c r="BI41" s="24">
        <f t="shared" si="55"/>
        <v>0</v>
      </c>
      <c r="BJ41" s="24">
        <f t="shared" si="55"/>
        <v>0</v>
      </c>
      <c r="BK41" s="24">
        <f t="shared" si="55"/>
        <v>0</v>
      </c>
      <c r="BL41" s="24">
        <f t="shared" si="55"/>
        <v>0</v>
      </c>
      <c r="BM41" s="24">
        <f t="shared" si="55"/>
        <v>0</v>
      </c>
      <c r="BN41" s="24"/>
      <c r="BO41" s="24"/>
      <c r="BP41" s="24">
        <f t="shared" si="56"/>
        <v>90420000</v>
      </c>
      <c r="BQ41" s="24">
        <f t="shared" si="57"/>
        <v>0</v>
      </c>
      <c r="BR41" s="25">
        <f t="shared" si="10"/>
        <v>0.54790000000000005</v>
      </c>
      <c r="BS41" s="24">
        <f t="shared" si="36"/>
        <v>109580000</v>
      </c>
      <c r="BT41" s="24"/>
      <c r="BU41" s="24"/>
      <c r="BV41" s="24"/>
      <c r="BW41" s="24"/>
      <c r="BX41" s="24"/>
      <c r="BY41" s="24"/>
      <c r="BZ41" s="24"/>
      <c r="CA41" s="24"/>
      <c r="CB41" s="24"/>
      <c r="CC41" s="24"/>
      <c r="CD41" s="24"/>
      <c r="CE41" s="24"/>
      <c r="CF41" s="24">
        <f>+'[9]MARZO 2016 ULTIMO'!$H$622</f>
        <v>100000000</v>
      </c>
      <c r="CG41" s="24"/>
      <c r="CH41" s="24"/>
      <c r="CI41" s="24"/>
      <c r="CJ41" s="24"/>
      <c r="CK41" s="24"/>
      <c r="CL41" s="24">
        <f>+'[6]JUNIO 2016'!$AF$1063</f>
        <v>9580000</v>
      </c>
      <c r="CM41" s="24"/>
      <c r="CN41" s="25">
        <f t="shared" si="12"/>
        <v>0.45209999999999995</v>
      </c>
      <c r="CO41" s="24">
        <f t="shared" si="37"/>
        <v>90420000</v>
      </c>
      <c r="CP41" s="24">
        <f t="shared" si="48"/>
        <v>0</v>
      </c>
      <c r="CQ41" s="24">
        <f t="shared" si="48"/>
        <v>0</v>
      </c>
      <c r="CR41" s="24">
        <f t="shared" si="48"/>
        <v>0</v>
      </c>
      <c r="CS41" s="24">
        <f t="shared" si="48"/>
        <v>0</v>
      </c>
      <c r="CT41" s="24">
        <f t="shared" si="48"/>
        <v>0</v>
      </c>
      <c r="CU41" s="24">
        <f t="shared" si="48"/>
        <v>0</v>
      </c>
      <c r="CV41" s="24">
        <f t="shared" si="58"/>
        <v>0</v>
      </c>
      <c r="CW41" s="24">
        <f t="shared" si="58"/>
        <v>0</v>
      </c>
      <c r="CX41" s="24">
        <f t="shared" si="58"/>
        <v>0</v>
      </c>
      <c r="CY41" s="24">
        <f t="shared" si="50"/>
        <v>0</v>
      </c>
      <c r="CZ41" s="24">
        <f t="shared" si="50"/>
        <v>0</v>
      </c>
      <c r="DA41" s="24">
        <f t="shared" si="50"/>
        <v>0</v>
      </c>
      <c r="DB41" s="24">
        <f t="shared" si="59"/>
        <v>0</v>
      </c>
      <c r="DC41" s="24">
        <f t="shared" si="59"/>
        <v>0</v>
      </c>
      <c r="DD41" s="24">
        <f t="shared" si="59"/>
        <v>0</v>
      </c>
      <c r="DE41" s="24"/>
      <c r="DF41" s="24">
        <f t="shared" si="60"/>
        <v>0</v>
      </c>
      <c r="DG41" s="24">
        <f t="shared" si="53"/>
        <v>90420000</v>
      </c>
      <c r="DH41" s="24">
        <f t="shared" si="61"/>
        <v>0</v>
      </c>
      <c r="DJ41" s="77"/>
      <c r="DK41" s="77"/>
      <c r="DL41" s="196">
        <f t="shared" si="43"/>
        <v>200000000</v>
      </c>
      <c r="DM41" s="197">
        <f t="shared" si="44"/>
        <v>109580000</v>
      </c>
      <c r="DN41" s="77"/>
    </row>
    <row r="42" spans="1:118" ht="33.75" hidden="1" customHeight="1" x14ac:dyDescent="0.25">
      <c r="A42" s="238"/>
      <c r="B42" s="233"/>
      <c r="C42" s="20" t="s">
        <v>141</v>
      </c>
      <c r="D42" s="21" t="s">
        <v>142</v>
      </c>
      <c r="E42" s="22">
        <v>410</v>
      </c>
      <c r="F42" s="23" t="s">
        <v>76</v>
      </c>
      <c r="G42" s="24">
        <f t="shared" si="31"/>
        <v>0</v>
      </c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54"/>
      <c r="Z42" s="54">
        <f>5000000-5000000</f>
        <v>0</v>
      </c>
      <c r="AA42" s="25" t="e">
        <f t="shared" si="1"/>
        <v>#DIV/0!</v>
      </c>
      <c r="AB42" s="24">
        <f t="shared" si="32"/>
        <v>0</v>
      </c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5" t="e">
        <f t="shared" si="3"/>
        <v>#DIV/0!</v>
      </c>
      <c r="AX42" s="24">
        <f t="shared" si="33"/>
        <v>0</v>
      </c>
      <c r="AY42" s="24">
        <f t="shared" si="45"/>
        <v>0</v>
      </c>
      <c r="AZ42" s="24">
        <f t="shared" si="45"/>
        <v>0</v>
      </c>
      <c r="BA42" s="24">
        <f t="shared" si="45"/>
        <v>0</v>
      </c>
      <c r="BB42" s="24">
        <f t="shared" si="55"/>
        <v>0</v>
      </c>
      <c r="BC42" s="24">
        <f t="shared" si="55"/>
        <v>0</v>
      </c>
      <c r="BD42" s="24">
        <f t="shared" si="55"/>
        <v>0</v>
      </c>
      <c r="BE42" s="24">
        <f t="shared" si="55"/>
        <v>0</v>
      </c>
      <c r="BF42" s="24">
        <f t="shared" si="55"/>
        <v>0</v>
      </c>
      <c r="BG42" s="24">
        <f t="shared" si="55"/>
        <v>0</v>
      </c>
      <c r="BH42" s="24">
        <f t="shared" si="55"/>
        <v>0</v>
      </c>
      <c r="BI42" s="24">
        <f t="shared" si="55"/>
        <v>0</v>
      </c>
      <c r="BJ42" s="24">
        <f t="shared" si="55"/>
        <v>0</v>
      </c>
      <c r="BK42" s="24">
        <f t="shared" si="55"/>
        <v>0</v>
      </c>
      <c r="BL42" s="24">
        <f t="shared" si="55"/>
        <v>0</v>
      </c>
      <c r="BM42" s="24">
        <f t="shared" si="55"/>
        <v>0</v>
      </c>
      <c r="BN42" s="24"/>
      <c r="BO42" s="24"/>
      <c r="BP42" s="24">
        <f t="shared" si="56"/>
        <v>0</v>
      </c>
      <c r="BQ42" s="24">
        <f t="shared" si="57"/>
        <v>0</v>
      </c>
      <c r="BR42" s="25" t="e">
        <f t="shared" si="10"/>
        <v>#DIV/0!</v>
      </c>
      <c r="BS42" s="24">
        <f t="shared" si="36"/>
        <v>0</v>
      </c>
      <c r="BT42" s="24"/>
      <c r="BU42" s="24"/>
      <c r="BV42" s="24"/>
      <c r="BW42" s="24"/>
      <c r="BX42" s="24"/>
      <c r="BY42" s="24"/>
      <c r="BZ42" s="24"/>
      <c r="CA42" s="24"/>
      <c r="CB42" s="24"/>
      <c r="CC42" s="24"/>
      <c r="CD42" s="24"/>
      <c r="CE42" s="24"/>
      <c r="CF42" s="24"/>
      <c r="CG42" s="24"/>
      <c r="CH42" s="24"/>
      <c r="CI42" s="24"/>
      <c r="CJ42" s="24"/>
      <c r="CK42" s="24"/>
      <c r="CL42" s="24"/>
      <c r="CM42" s="24"/>
      <c r="CN42" s="25" t="e">
        <f t="shared" si="12"/>
        <v>#DIV/0!</v>
      </c>
      <c r="CO42" s="24">
        <f t="shared" si="37"/>
        <v>0</v>
      </c>
      <c r="CP42" s="24">
        <f t="shared" si="48"/>
        <v>0</v>
      </c>
      <c r="CQ42" s="24">
        <f t="shared" si="48"/>
        <v>0</v>
      </c>
      <c r="CR42" s="24">
        <f t="shared" si="48"/>
        <v>0</v>
      </c>
      <c r="CS42" s="24">
        <f t="shared" si="48"/>
        <v>0</v>
      </c>
      <c r="CT42" s="24">
        <f t="shared" si="48"/>
        <v>0</v>
      </c>
      <c r="CU42" s="24">
        <f t="shared" si="48"/>
        <v>0</v>
      </c>
      <c r="CV42" s="24">
        <f t="shared" si="58"/>
        <v>0</v>
      </c>
      <c r="CW42" s="24">
        <f t="shared" si="58"/>
        <v>0</v>
      </c>
      <c r="CX42" s="24">
        <f t="shared" si="58"/>
        <v>0</v>
      </c>
      <c r="CY42" s="24">
        <f t="shared" si="50"/>
        <v>0</v>
      </c>
      <c r="CZ42" s="24">
        <f t="shared" si="50"/>
        <v>0</v>
      </c>
      <c r="DA42" s="24">
        <f t="shared" si="50"/>
        <v>0</v>
      </c>
      <c r="DB42" s="24">
        <f t="shared" si="59"/>
        <v>0</v>
      </c>
      <c r="DC42" s="24">
        <f t="shared" si="59"/>
        <v>0</v>
      </c>
      <c r="DD42" s="24">
        <f t="shared" si="59"/>
        <v>0</v>
      </c>
      <c r="DE42" s="24"/>
      <c r="DF42" s="24">
        <f t="shared" si="60"/>
        <v>0</v>
      </c>
      <c r="DG42" s="24">
        <f t="shared" si="53"/>
        <v>0</v>
      </c>
      <c r="DH42" s="24">
        <f t="shared" si="61"/>
        <v>0</v>
      </c>
      <c r="DJ42" s="77"/>
      <c r="DK42" s="77"/>
      <c r="DL42" s="196">
        <f t="shared" si="43"/>
        <v>0</v>
      </c>
      <c r="DM42" s="197">
        <f t="shared" si="44"/>
        <v>0</v>
      </c>
      <c r="DN42" s="77"/>
    </row>
    <row r="43" spans="1:118" hidden="1" x14ac:dyDescent="0.25">
      <c r="A43" s="238"/>
      <c r="B43" s="231" t="s">
        <v>143</v>
      </c>
      <c r="C43" s="20" t="s">
        <v>144</v>
      </c>
      <c r="D43" s="21" t="s">
        <v>145</v>
      </c>
      <c r="E43" s="22">
        <v>410</v>
      </c>
      <c r="F43" s="23" t="s">
        <v>91</v>
      </c>
      <c r="G43" s="24">
        <f t="shared" si="31"/>
        <v>1828304065</v>
      </c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>
        <f>1300000000+44000000-44000000+488711643+13621206+25971216</f>
        <v>1828304065</v>
      </c>
      <c r="S43" s="24"/>
      <c r="T43" s="24"/>
      <c r="U43" s="24"/>
      <c r="V43" s="24"/>
      <c r="W43" s="24"/>
      <c r="X43" s="24"/>
      <c r="Y43" s="54"/>
      <c r="Z43" s="54"/>
      <c r="AA43" s="25">
        <f t="shared" si="1"/>
        <v>0.97482030922465845</v>
      </c>
      <c r="AB43" s="24">
        <f t="shared" si="32"/>
        <v>1782267934</v>
      </c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>
        <f>+'[1]SEPTIEMBRE 2016'!$V$1765</f>
        <v>1782267934</v>
      </c>
      <c r="AO43" s="24"/>
      <c r="AP43" s="24"/>
      <c r="AQ43" s="24"/>
      <c r="AR43" s="24"/>
      <c r="AS43" s="24"/>
      <c r="AT43" s="24"/>
      <c r="AU43" s="24"/>
      <c r="AV43" s="24"/>
      <c r="AW43" s="25">
        <f t="shared" si="3"/>
        <v>2.5179690775341546E-2</v>
      </c>
      <c r="AX43" s="24">
        <f t="shared" si="33"/>
        <v>46036131</v>
      </c>
      <c r="AY43" s="24">
        <f t="shared" si="45"/>
        <v>0</v>
      </c>
      <c r="AZ43" s="24">
        <f t="shared" si="45"/>
        <v>0</v>
      </c>
      <c r="BA43" s="24">
        <f t="shared" si="45"/>
        <v>0</v>
      </c>
      <c r="BB43" s="24">
        <f t="shared" si="55"/>
        <v>0</v>
      </c>
      <c r="BC43" s="24">
        <f t="shared" si="55"/>
        <v>0</v>
      </c>
      <c r="BD43" s="24">
        <f t="shared" si="55"/>
        <v>0</v>
      </c>
      <c r="BE43" s="24">
        <f t="shared" si="55"/>
        <v>0</v>
      </c>
      <c r="BF43" s="24">
        <f t="shared" si="55"/>
        <v>0</v>
      </c>
      <c r="BG43" s="24">
        <f t="shared" si="55"/>
        <v>0</v>
      </c>
      <c r="BH43" s="24">
        <f t="shared" si="55"/>
        <v>0</v>
      </c>
      <c r="BI43" s="24">
        <f t="shared" si="55"/>
        <v>46036131</v>
      </c>
      <c r="BJ43" s="24">
        <f t="shared" si="55"/>
        <v>0</v>
      </c>
      <c r="BK43" s="24">
        <f t="shared" si="55"/>
        <v>0</v>
      </c>
      <c r="BL43" s="24">
        <f t="shared" si="55"/>
        <v>0</v>
      </c>
      <c r="BM43" s="24">
        <f t="shared" si="55"/>
        <v>0</v>
      </c>
      <c r="BN43" s="24"/>
      <c r="BO43" s="24">
        <f>+X43-AT43</f>
        <v>0</v>
      </c>
      <c r="BP43" s="24">
        <f t="shared" si="56"/>
        <v>0</v>
      </c>
      <c r="BQ43" s="24">
        <f t="shared" si="57"/>
        <v>0</v>
      </c>
      <c r="BR43" s="25">
        <f t="shared" si="10"/>
        <v>0.65478605824792058</v>
      </c>
      <c r="BS43" s="24">
        <f t="shared" si="36"/>
        <v>1197148012</v>
      </c>
      <c r="BT43" s="24"/>
      <c r="BU43" s="24"/>
      <c r="BV43" s="24"/>
      <c r="BW43" s="24"/>
      <c r="BX43" s="24"/>
      <c r="BY43" s="24"/>
      <c r="BZ43" s="24"/>
      <c r="CA43" s="24"/>
      <c r="CB43" s="24"/>
      <c r="CC43" s="24"/>
      <c r="CD43" s="24"/>
      <c r="CE43" s="24">
        <f>+'[1]SEPTIEMBRE 2016'!$H$1763</f>
        <v>1197148012</v>
      </c>
      <c r="CF43" s="24"/>
      <c r="CG43" s="24"/>
      <c r="CH43" s="24"/>
      <c r="CI43" s="24"/>
      <c r="CJ43" s="24"/>
      <c r="CK43" s="24"/>
      <c r="CL43" s="24"/>
      <c r="CM43" s="24"/>
      <c r="CN43" s="25">
        <f t="shared" si="12"/>
        <v>0.34521394175207942</v>
      </c>
      <c r="CO43" s="24">
        <f t="shared" si="37"/>
        <v>631156053</v>
      </c>
      <c r="CP43" s="24">
        <f t="shared" si="48"/>
        <v>0</v>
      </c>
      <c r="CQ43" s="24">
        <f t="shared" si="48"/>
        <v>0</v>
      </c>
      <c r="CR43" s="24">
        <f t="shared" si="48"/>
        <v>0</v>
      </c>
      <c r="CS43" s="24">
        <f t="shared" si="48"/>
        <v>0</v>
      </c>
      <c r="CT43" s="24">
        <f t="shared" si="48"/>
        <v>0</v>
      </c>
      <c r="CU43" s="24">
        <f t="shared" si="48"/>
        <v>0</v>
      </c>
      <c r="CV43" s="24">
        <f t="shared" si="58"/>
        <v>0</v>
      </c>
      <c r="CW43" s="24">
        <f t="shared" si="58"/>
        <v>0</v>
      </c>
      <c r="CX43" s="24">
        <f t="shared" si="58"/>
        <v>0</v>
      </c>
      <c r="CY43" s="24">
        <f t="shared" si="50"/>
        <v>0</v>
      </c>
      <c r="CZ43" s="24">
        <f t="shared" si="50"/>
        <v>631156053</v>
      </c>
      <c r="DA43" s="24">
        <f t="shared" si="50"/>
        <v>0</v>
      </c>
      <c r="DB43" s="24">
        <f t="shared" si="59"/>
        <v>0</v>
      </c>
      <c r="DC43" s="24">
        <f t="shared" si="59"/>
        <v>0</v>
      </c>
      <c r="DD43" s="24">
        <f t="shared" si="59"/>
        <v>0</v>
      </c>
      <c r="DE43" s="24"/>
      <c r="DF43" s="24">
        <f t="shared" si="60"/>
        <v>0</v>
      </c>
      <c r="DG43" s="24">
        <f t="shared" si="53"/>
        <v>0</v>
      </c>
      <c r="DH43" s="24">
        <f t="shared" si="61"/>
        <v>0</v>
      </c>
      <c r="DJ43" s="77"/>
      <c r="DK43" s="77"/>
      <c r="DL43" s="196">
        <f t="shared" si="43"/>
        <v>1828304065</v>
      </c>
      <c r="DM43" s="197">
        <f t="shared" si="44"/>
        <v>1197148012</v>
      </c>
      <c r="DN43" s="77"/>
    </row>
    <row r="44" spans="1:118" ht="30" hidden="1" x14ac:dyDescent="0.25">
      <c r="A44" s="238"/>
      <c r="B44" s="232"/>
      <c r="C44" s="20" t="s">
        <v>146</v>
      </c>
      <c r="D44" s="21" t="s">
        <v>147</v>
      </c>
      <c r="E44" s="22">
        <v>410</v>
      </c>
      <c r="F44" s="23" t="s">
        <v>91</v>
      </c>
      <c r="G44" s="24">
        <f t="shared" si="31"/>
        <v>96094870</v>
      </c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>
        <f>50000000+3094870+20000000+23000000</f>
        <v>96094870</v>
      </c>
      <c r="V44" s="24"/>
      <c r="W44" s="24"/>
      <c r="X44" s="24"/>
      <c r="Y44" s="54"/>
      <c r="Z44" s="54"/>
      <c r="AA44" s="25">
        <f t="shared" si="1"/>
        <v>0.93566407863395828</v>
      </c>
      <c r="AB44" s="24">
        <f t="shared" si="32"/>
        <v>89912518</v>
      </c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>
        <f>+'[1]SEPTIEMBRE 2016'!$Y$2284</f>
        <v>89912518</v>
      </c>
      <c r="AR44" s="24"/>
      <c r="AS44" s="24"/>
      <c r="AT44" s="24"/>
      <c r="AU44" s="24"/>
      <c r="AV44" s="24"/>
      <c r="AW44" s="25">
        <f t="shared" si="3"/>
        <v>6.4335921366041715E-2</v>
      </c>
      <c r="AX44" s="24">
        <f t="shared" si="33"/>
        <v>6182352</v>
      </c>
      <c r="AY44" s="24">
        <f t="shared" si="45"/>
        <v>0</v>
      </c>
      <c r="AZ44" s="24">
        <f t="shared" si="45"/>
        <v>0</v>
      </c>
      <c r="BA44" s="24">
        <f t="shared" si="45"/>
        <v>0</v>
      </c>
      <c r="BB44" s="24">
        <f t="shared" si="55"/>
        <v>0</v>
      </c>
      <c r="BC44" s="24">
        <f t="shared" si="55"/>
        <v>0</v>
      </c>
      <c r="BD44" s="24">
        <f t="shared" si="55"/>
        <v>0</v>
      </c>
      <c r="BE44" s="24">
        <f t="shared" si="55"/>
        <v>0</v>
      </c>
      <c r="BF44" s="24">
        <f>+O44-AL44</f>
        <v>0</v>
      </c>
      <c r="BG44" s="24">
        <f>+P44-AM44</f>
        <v>0</v>
      </c>
      <c r="BH44" s="24">
        <f t="shared" si="55"/>
        <v>0</v>
      </c>
      <c r="BI44" s="24">
        <f t="shared" si="55"/>
        <v>0</v>
      </c>
      <c r="BJ44" s="24">
        <f t="shared" si="55"/>
        <v>0</v>
      </c>
      <c r="BK44" s="24">
        <f t="shared" si="55"/>
        <v>0</v>
      </c>
      <c r="BL44" s="24">
        <f t="shared" si="55"/>
        <v>6182352</v>
      </c>
      <c r="BM44" s="24">
        <f t="shared" si="55"/>
        <v>0</v>
      </c>
      <c r="BN44" s="24"/>
      <c r="BO44" s="24">
        <f>+X44-AT44</f>
        <v>0</v>
      </c>
      <c r="BP44" s="24">
        <f t="shared" si="56"/>
        <v>0</v>
      </c>
      <c r="BQ44" s="24">
        <f t="shared" si="57"/>
        <v>0</v>
      </c>
      <c r="BR44" s="25">
        <f t="shared" si="10"/>
        <v>0.74003816228691499</v>
      </c>
      <c r="BS44" s="24">
        <f t="shared" si="36"/>
        <v>71113871</v>
      </c>
      <c r="BT44" s="24"/>
      <c r="BU44" s="24"/>
      <c r="BV44" s="24"/>
      <c r="BW44" s="24"/>
      <c r="BX44" s="24"/>
      <c r="BY44" s="24"/>
      <c r="BZ44" s="24"/>
      <c r="CA44" s="24"/>
      <c r="CB44" s="24"/>
      <c r="CC44" s="24"/>
      <c r="CD44" s="24"/>
      <c r="CE44" s="24"/>
      <c r="CF44" s="24"/>
      <c r="CG44" s="24"/>
      <c r="CH44" s="24">
        <f>+'[1]SEPTIEMBRE 2016'!$H$2282</f>
        <v>71113871</v>
      </c>
      <c r="CI44" s="24"/>
      <c r="CJ44" s="24"/>
      <c r="CK44" s="24"/>
      <c r="CL44" s="24"/>
      <c r="CM44" s="24"/>
      <c r="CN44" s="25">
        <f t="shared" si="12"/>
        <v>0.25996183771308501</v>
      </c>
      <c r="CO44" s="24">
        <f t="shared" si="37"/>
        <v>24980999</v>
      </c>
      <c r="CP44" s="24">
        <f t="shared" si="48"/>
        <v>0</v>
      </c>
      <c r="CQ44" s="24">
        <f t="shared" si="48"/>
        <v>0</v>
      </c>
      <c r="CR44" s="24">
        <f t="shared" si="48"/>
        <v>0</v>
      </c>
      <c r="CS44" s="24">
        <f t="shared" si="48"/>
        <v>0</v>
      </c>
      <c r="CT44" s="24">
        <f t="shared" si="48"/>
        <v>0</v>
      </c>
      <c r="CU44" s="24">
        <f t="shared" si="48"/>
        <v>0</v>
      </c>
      <c r="CV44" s="24">
        <f t="shared" si="58"/>
        <v>0</v>
      </c>
      <c r="CW44" s="24">
        <f t="shared" si="58"/>
        <v>0</v>
      </c>
      <c r="CX44" s="24">
        <f t="shared" si="58"/>
        <v>0</v>
      </c>
      <c r="CY44" s="24">
        <f t="shared" si="50"/>
        <v>0</v>
      </c>
      <c r="CZ44" s="24">
        <f t="shared" si="50"/>
        <v>0</v>
      </c>
      <c r="DA44" s="24">
        <f t="shared" si="50"/>
        <v>0</v>
      </c>
      <c r="DB44" s="24">
        <f t="shared" si="59"/>
        <v>0</v>
      </c>
      <c r="DC44" s="24">
        <f t="shared" si="59"/>
        <v>24980999</v>
      </c>
      <c r="DD44" s="24">
        <f t="shared" si="59"/>
        <v>0</v>
      </c>
      <c r="DE44" s="24"/>
      <c r="DF44" s="24">
        <f t="shared" si="60"/>
        <v>0</v>
      </c>
      <c r="DG44" s="24">
        <f t="shared" si="53"/>
        <v>0</v>
      </c>
      <c r="DH44" s="24">
        <f t="shared" si="61"/>
        <v>0</v>
      </c>
      <c r="DJ44" s="77"/>
      <c r="DK44" s="77"/>
      <c r="DL44" s="196">
        <f t="shared" si="43"/>
        <v>96094870</v>
      </c>
      <c r="DM44" s="197">
        <f t="shared" si="44"/>
        <v>71113871</v>
      </c>
      <c r="DN44" s="77"/>
    </row>
    <row r="45" spans="1:118" hidden="1" x14ac:dyDescent="0.25">
      <c r="A45" s="238"/>
      <c r="B45" s="233"/>
      <c r="C45" s="20" t="s">
        <v>148</v>
      </c>
      <c r="D45" s="21" t="s">
        <v>149</v>
      </c>
      <c r="E45" s="22">
        <v>410</v>
      </c>
      <c r="F45" s="23" t="s">
        <v>91</v>
      </c>
      <c r="G45" s="24">
        <f t="shared" si="31"/>
        <v>22111130</v>
      </c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>
        <f>20000000-3094870+5206000</f>
        <v>22111130</v>
      </c>
      <c r="V45" s="24"/>
      <c r="W45" s="24"/>
      <c r="X45" s="24"/>
      <c r="Y45" s="54"/>
      <c r="Z45" s="54"/>
      <c r="AA45" s="25">
        <f t="shared" si="1"/>
        <v>0.76455296495475356</v>
      </c>
      <c r="AB45" s="24">
        <f t="shared" si="32"/>
        <v>16905130</v>
      </c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4"/>
      <c r="AQ45" s="24">
        <f>+'[9]MARZO 2016 ULTIMO'!$Y$724</f>
        <v>16905130</v>
      </c>
      <c r="AR45" s="24"/>
      <c r="AS45" s="24"/>
      <c r="AT45" s="24"/>
      <c r="AU45" s="24"/>
      <c r="AV45" s="24"/>
      <c r="AW45" s="25">
        <f t="shared" si="3"/>
        <v>0.23544703504524644</v>
      </c>
      <c r="AX45" s="24">
        <f t="shared" si="33"/>
        <v>5206000</v>
      </c>
      <c r="AY45" s="24">
        <f t="shared" si="45"/>
        <v>0</v>
      </c>
      <c r="AZ45" s="24">
        <f t="shared" si="45"/>
        <v>0</v>
      </c>
      <c r="BA45" s="24">
        <f t="shared" si="45"/>
        <v>0</v>
      </c>
      <c r="BB45" s="24">
        <f t="shared" si="55"/>
        <v>0</v>
      </c>
      <c r="BC45" s="24">
        <f t="shared" si="55"/>
        <v>0</v>
      </c>
      <c r="BD45" s="24">
        <f t="shared" si="55"/>
        <v>0</v>
      </c>
      <c r="BE45" s="24">
        <f t="shared" si="55"/>
        <v>0</v>
      </c>
      <c r="BF45" s="24">
        <f>+O45-AL45</f>
        <v>0</v>
      </c>
      <c r="BG45" s="24">
        <f>+P45-AM45</f>
        <v>0</v>
      </c>
      <c r="BH45" s="24">
        <f t="shared" si="55"/>
        <v>0</v>
      </c>
      <c r="BI45" s="24">
        <f t="shared" si="55"/>
        <v>0</v>
      </c>
      <c r="BJ45" s="24">
        <f t="shared" si="55"/>
        <v>0</v>
      </c>
      <c r="BK45" s="24"/>
      <c r="BL45" s="24">
        <f t="shared" si="55"/>
        <v>5206000</v>
      </c>
      <c r="BM45" s="24">
        <f t="shared" si="55"/>
        <v>0</v>
      </c>
      <c r="BN45" s="24"/>
      <c r="BO45" s="24"/>
      <c r="BP45" s="24">
        <f t="shared" si="56"/>
        <v>0</v>
      </c>
      <c r="BQ45" s="24">
        <f t="shared" si="57"/>
        <v>0</v>
      </c>
      <c r="BR45" s="25">
        <f t="shared" si="10"/>
        <v>0.76455296495475356</v>
      </c>
      <c r="BS45" s="24">
        <f t="shared" si="36"/>
        <v>16905130</v>
      </c>
      <c r="BT45" s="24"/>
      <c r="BU45" s="24"/>
      <c r="BV45" s="24"/>
      <c r="BW45" s="24"/>
      <c r="BX45" s="24"/>
      <c r="BY45" s="24"/>
      <c r="BZ45" s="24"/>
      <c r="CA45" s="24"/>
      <c r="CB45" s="24"/>
      <c r="CC45" s="24"/>
      <c r="CD45" s="24"/>
      <c r="CE45" s="24"/>
      <c r="CF45" s="24"/>
      <c r="CG45" s="24"/>
      <c r="CH45" s="24">
        <f>+'[8]ABRIL 2016'!$H$929</f>
        <v>16905130</v>
      </c>
      <c r="CI45" s="24"/>
      <c r="CJ45" s="24"/>
      <c r="CK45" s="24"/>
      <c r="CL45" s="24"/>
      <c r="CM45" s="24"/>
      <c r="CN45" s="25">
        <f t="shared" si="12"/>
        <v>0.23544703504524644</v>
      </c>
      <c r="CO45" s="24">
        <f t="shared" si="37"/>
        <v>5206000</v>
      </c>
      <c r="CP45" s="24">
        <f t="shared" si="48"/>
        <v>0</v>
      </c>
      <c r="CQ45" s="24">
        <f t="shared" si="48"/>
        <v>0</v>
      </c>
      <c r="CR45" s="24">
        <f t="shared" si="48"/>
        <v>0</v>
      </c>
      <c r="CS45" s="24">
        <f t="shared" si="48"/>
        <v>0</v>
      </c>
      <c r="CT45" s="24">
        <f t="shared" si="48"/>
        <v>0</v>
      </c>
      <c r="CU45" s="24">
        <f t="shared" si="48"/>
        <v>0</v>
      </c>
      <c r="CV45" s="24">
        <f t="shared" si="58"/>
        <v>0</v>
      </c>
      <c r="CW45" s="24">
        <f t="shared" si="58"/>
        <v>0</v>
      </c>
      <c r="CX45" s="24">
        <f t="shared" si="58"/>
        <v>0</v>
      </c>
      <c r="CY45" s="24">
        <f t="shared" si="50"/>
        <v>0</v>
      </c>
      <c r="CZ45" s="24">
        <f t="shared" si="50"/>
        <v>0</v>
      </c>
      <c r="DA45" s="24">
        <f t="shared" si="50"/>
        <v>0</v>
      </c>
      <c r="DB45" s="24">
        <f t="shared" si="59"/>
        <v>0</v>
      </c>
      <c r="DC45" s="24">
        <f t="shared" si="59"/>
        <v>5206000</v>
      </c>
      <c r="DD45" s="24">
        <f t="shared" si="59"/>
        <v>0</v>
      </c>
      <c r="DE45" s="24"/>
      <c r="DF45" s="24">
        <f t="shared" si="60"/>
        <v>0</v>
      </c>
      <c r="DG45" s="24">
        <f t="shared" si="53"/>
        <v>0</v>
      </c>
      <c r="DH45" s="24">
        <f t="shared" si="61"/>
        <v>0</v>
      </c>
      <c r="DJ45" s="77"/>
      <c r="DK45" s="77"/>
      <c r="DL45" s="196">
        <f t="shared" si="43"/>
        <v>22111130</v>
      </c>
      <c r="DM45" s="197">
        <f t="shared" si="44"/>
        <v>16905130</v>
      </c>
      <c r="DN45" s="77"/>
    </row>
    <row r="46" spans="1:118" ht="30" hidden="1" x14ac:dyDescent="0.25">
      <c r="A46" s="238"/>
      <c r="B46" s="231" t="s">
        <v>150</v>
      </c>
      <c r="C46" s="20" t="s">
        <v>151</v>
      </c>
      <c r="D46" s="21" t="s">
        <v>152</v>
      </c>
      <c r="E46" s="22">
        <v>410</v>
      </c>
      <c r="F46" s="23" t="s">
        <v>91</v>
      </c>
      <c r="G46" s="24">
        <f t="shared" si="31"/>
        <v>20000000</v>
      </c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>
        <v>20000000</v>
      </c>
      <c r="V46" s="24"/>
      <c r="W46" s="24"/>
      <c r="X46" s="24"/>
      <c r="Y46" s="54"/>
      <c r="Z46" s="54"/>
      <c r="AA46" s="25">
        <f t="shared" si="1"/>
        <v>1</v>
      </c>
      <c r="AB46" s="24">
        <f t="shared" si="32"/>
        <v>20000000</v>
      </c>
      <c r="AC46" s="24"/>
      <c r="AD46" s="24"/>
      <c r="AE46" s="24"/>
      <c r="AF46" s="24"/>
      <c r="AG46" s="24"/>
      <c r="AH46" s="24"/>
      <c r="AI46" s="24"/>
      <c r="AJ46" s="24"/>
      <c r="AK46" s="24"/>
      <c r="AL46" s="24"/>
      <c r="AM46" s="24"/>
      <c r="AN46" s="24"/>
      <c r="AO46" s="24"/>
      <c r="AP46" s="24"/>
      <c r="AQ46" s="24">
        <f>+'[2]ENERO 2016'!$Y$406</f>
        <v>20000000</v>
      </c>
      <c r="AR46" s="24"/>
      <c r="AS46" s="24"/>
      <c r="AT46" s="24"/>
      <c r="AU46" s="24"/>
      <c r="AV46" s="24"/>
      <c r="AW46" s="25">
        <f t="shared" si="3"/>
        <v>0</v>
      </c>
      <c r="AX46" s="24">
        <f t="shared" si="33"/>
        <v>0</v>
      </c>
      <c r="AY46" s="24">
        <f t="shared" si="45"/>
        <v>0</v>
      </c>
      <c r="AZ46" s="24">
        <f t="shared" si="45"/>
        <v>0</v>
      </c>
      <c r="BA46" s="24">
        <f t="shared" si="45"/>
        <v>0</v>
      </c>
      <c r="BB46" s="24">
        <f t="shared" si="55"/>
        <v>0</v>
      </c>
      <c r="BC46" s="24">
        <f t="shared" si="55"/>
        <v>0</v>
      </c>
      <c r="BD46" s="24">
        <f t="shared" si="55"/>
        <v>0</v>
      </c>
      <c r="BE46" s="24">
        <f t="shared" si="55"/>
        <v>0</v>
      </c>
      <c r="BF46" s="24">
        <f t="shared" si="55"/>
        <v>0</v>
      </c>
      <c r="BG46" s="24">
        <f t="shared" ref="BG46:BG59" si="62">+P46-AM46</f>
        <v>0</v>
      </c>
      <c r="BH46" s="24">
        <f t="shared" si="55"/>
        <v>0</v>
      </c>
      <c r="BI46" s="24">
        <f t="shared" si="55"/>
        <v>0</v>
      </c>
      <c r="BJ46" s="24">
        <f t="shared" si="55"/>
        <v>0</v>
      </c>
      <c r="BK46" s="24">
        <f>+T46-AP46</f>
        <v>0</v>
      </c>
      <c r="BL46" s="24">
        <f t="shared" si="55"/>
        <v>0</v>
      </c>
      <c r="BM46" s="24">
        <f t="shared" si="55"/>
        <v>0</v>
      </c>
      <c r="BN46" s="24"/>
      <c r="BO46" s="24">
        <f>+X46-AT46</f>
        <v>0</v>
      </c>
      <c r="BP46" s="24">
        <f t="shared" si="56"/>
        <v>0</v>
      </c>
      <c r="BQ46" s="24">
        <f t="shared" si="57"/>
        <v>0</v>
      </c>
      <c r="BR46" s="25">
        <f t="shared" si="10"/>
        <v>1</v>
      </c>
      <c r="BS46" s="24">
        <f t="shared" si="36"/>
        <v>20000000</v>
      </c>
      <c r="BT46" s="24"/>
      <c r="BU46" s="24"/>
      <c r="BV46" s="24"/>
      <c r="BW46" s="24"/>
      <c r="BX46" s="24"/>
      <c r="BY46" s="24"/>
      <c r="BZ46" s="24"/>
      <c r="CA46" s="24"/>
      <c r="CB46" s="24"/>
      <c r="CC46" s="24"/>
      <c r="CD46" s="24"/>
      <c r="CE46" s="24"/>
      <c r="CF46" s="24"/>
      <c r="CG46" s="24"/>
      <c r="CH46" s="24">
        <f>+'[5]JULIO 2016'!$H$1402</f>
        <v>20000000</v>
      </c>
      <c r="CI46" s="24"/>
      <c r="CJ46" s="24"/>
      <c r="CK46" s="24"/>
      <c r="CL46" s="24"/>
      <c r="CM46" s="24"/>
      <c r="CN46" s="25">
        <f t="shared" si="12"/>
        <v>0</v>
      </c>
      <c r="CO46" s="24">
        <f t="shared" si="37"/>
        <v>0</v>
      </c>
      <c r="CP46" s="24">
        <f t="shared" si="48"/>
        <v>0</v>
      </c>
      <c r="CQ46" s="24">
        <f t="shared" si="48"/>
        <v>0</v>
      </c>
      <c r="CR46" s="24">
        <f t="shared" si="48"/>
        <v>0</v>
      </c>
      <c r="CS46" s="24">
        <f t="shared" si="48"/>
        <v>0</v>
      </c>
      <c r="CT46" s="24">
        <f t="shared" si="48"/>
        <v>0</v>
      </c>
      <c r="CU46" s="24">
        <f t="shared" si="48"/>
        <v>0</v>
      </c>
      <c r="CV46" s="24">
        <f t="shared" si="58"/>
        <v>0</v>
      </c>
      <c r="CW46" s="24">
        <f t="shared" si="58"/>
        <v>0</v>
      </c>
      <c r="CX46" s="24">
        <f t="shared" si="58"/>
        <v>0</v>
      </c>
      <c r="CY46" s="24">
        <f t="shared" si="50"/>
        <v>0</v>
      </c>
      <c r="CZ46" s="24">
        <f t="shared" si="50"/>
        <v>0</v>
      </c>
      <c r="DA46" s="24">
        <f t="shared" si="50"/>
        <v>0</v>
      </c>
      <c r="DB46" s="24">
        <f t="shared" si="59"/>
        <v>0</v>
      </c>
      <c r="DC46" s="24">
        <f t="shared" si="59"/>
        <v>0</v>
      </c>
      <c r="DD46" s="24">
        <f t="shared" si="59"/>
        <v>0</v>
      </c>
      <c r="DE46" s="24"/>
      <c r="DF46" s="24">
        <f t="shared" si="60"/>
        <v>0</v>
      </c>
      <c r="DG46" s="24">
        <f t="shared" si="53"/>
        <v>0</v>
      </c>
      <c r="DH46" s="24">
        <f t="shared" si="61"/>
        <v>0</v>
      </c>
      <c r="DJ46" s="77"/>
      <c r="DK46" s="77"/>
      <c r="DL46" s="196">
        <f t="shared" si="43"/>
        <v>20000000</v>
      </c>
      <c r="DM46" s="197">
        <f t="shared" si="44"/>
        <v>20000000</v>
      </c>
      <c r="DN46" s="77"/>
    </row>
    <row r="47" spans="1:118" ht="30" hidden="1" x14ac:dyDescent="0.25">
      <c r="A47" s="238"/>
      <c r="B47" s="232"/>
      <c r="C47" s="20" t="s">
        <v>153</v>
      </c>
      <c r="D47" s="21" t="s">
        <v>154</v>
      </c>
      <c r="E47" s="22">
        <v>410</v>
      </c>
      <c r="F47" s="23" t="s">
        <v>91</v>
      </c>
      <c r="G47" s="24">
        <f t="shared" si="31"/>
        <v>10000000</v>
      </c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>
        <v>10000000</v>
      </c>
      <c r="V47" s="24"/>
      <c r="W47" s="24"/>
      <c r="X47" s="24"/>
      <c r="Y47" s="54"/>
      <c r="Z47" s="54"/>
      <c r="AA47" s="25">
        <f t="shared" si="1"/>
        <v>0.9996834</v>
      </c>
      <c r="AB47" s="24">
        <f t="shared" si="32"/>
        <v>9996834</v>
      </c>
      <c r="AC47" s="24"/>
      <c r="AD47" s="24"/>
      <c r="AE47" s="24"/>
      <c r="AF47" s="24"/>
      <c r="AG47" s="24"/>
      <c r="AH47" s="24"/>
      <c r="AI47" s="24"/>
      <c r="AJ47" s="24"/>
      <c r="AK47" s="24"/>
      <c r="AL47" s="24"/>
      <c r="AM47" s="24"/>
      <c r="AN47" s="24"/>
      <c r="AO47" s="24"/>
      <c r="AP47" s="24"/>
      <c r="AQ47" s="24">
        <f>+'[1]SEPTIEMBRE 2016'!$Y$2326</f>
        <v>9996834</v>
      </c>
      <c r="AR47" s="24"/>
      <c r="AS47" s="24"/>
      <c r="AT47" s="24"/>
      <c r="AU47" s="24"/>
      <c r="AV47" s="24"/>
      <c r="AW47" s="25">
        <f t="shared" si="3"/>
        <v>3.1660000000000021E-4</v>
      </c>
      <c r="AX47" s="24">
        <f t="shared" si="33"/>
        <v>3166</v>
      </c>
      <c r="AY47" s="24">
        <f t="shared" si="45"/>
        <v>0</v>
      </c>
      <c r="AZ47" s="24">
        <f t="shared" si="45"/>
        <v>0</v>
      </c>
      <c r="BA47" s="24">
        <f t="shared" si="45"/>
        <v>0</v>
      </c>
      <c r="BB47" s="24">
        <f t="shared" si="55"/>
        <v>0</v>
      </c>
      <c r="BC47" s="24">
        <f t="shared" si="55"/>
        <v>0</v>
      </c>
      <c r="BD47" s="24">
        <f t="shared" si="55"/>
        <v>0</v>
      </c>
      <c r="BE47" s="24">
        <f t="shared" si="55"/>
        <v>0</v>
      </c>
      <c r="BF47" s="24">
        <f t="shared" si="55"/>
        <v>0</v>
      </c>
      <c r="BG47" s="24">
        <f t="shared" si="62"/>
        <v>0</v>
      </c>
      <c r="BH47" s="24">
        <f t="shared" si="55"/>
        <v>0</v>
      </c>
      <c r="BI47" s="24">
        <f t="shared" si="55"/>
        <v>0</v>
      </c>
      <c r="BJ47" s="24">
        <f t="shared" si="55"/>
        <v>0</v>
      </c>
      <c r="BK47" s="24">
        <f>+T47-AP47</f>
        <v>0</v>
      </c>
      <c r="BL47" s="24">
        <f t="shared" si="55"/>
        <v>3166</v>
      </c>
      <c r="BM47" s="24">
        <f t="shared" si="55"/>
        <v>0</v>
      </c>
      <c r="BN47" s="24"/>
      <c r="BO47" s="24"/>
      <c r="BP47" s="24">
        <f t="shared" si="56"/>
        <v>0</v>
      </c>
      <c r="BQ47" s="24">
        <f t="shared" si="57"/>
        <v>0</v>
      </c>
      <c r="BR47" s="25">
        <f t="shared" si="10"/>
        <v>0.92333399999999999</v>
      </c>
      <c r="BS47" s="24">
        <f t="shared" si="36"/>
        <v>9233340</v>
      </c>
      <c r="BT47" s="24"/>
      <c r="BU47" s="24"/>
      <c r="BV47" s="24"/>
      <c r="BW47" s="24"/>
      <c r="BX47" s="24"/>
      <c r="BY47" s="24"/>
      <c r="BZ47" s="24"/>
      <c r="CA47" s="24"/>
      <c r="CB47" s="24"/>
      <c r="CC47" s="24"/>
      <c r="CD47" s="24"/>
      <c r="CE47" s="24"/>
      <c r="CF47" s="24"/>
      <c r="CG47" s="24"/>
      <c r="CH47" s="24">
        <f>+'[7]MAYO 2016'!$H$1115</f>
        <v>9233340</v>
      </c>
      <c r="CI47" s="24"/>
      <c r="CJ47" s="24"/>
      <c r="CK47" s="24"/>
      <c r="CL47" s="24"/>
      <c r="CM47" s="24"/>
      <c r="CN47" s="25">
        <f t="shared" si="12"/>
        <v>7.6666000000000012E-2</v>
      </c>
      <c r="CO47" s="24">
        <f t="shared" si="37"/>
        <v>766660</v>
      </c>
      <c r="CP47" s="24">
        <f t="shared" si="48"/>
        <v>0</v>
      </c>
      <c r="CQ47" s="24">
        <f t="shared" si="48"/>
        <v>0</v>
      </c>
      <c r="CR47" s="24">
        <f t="shared" si="48"/>
        <v>0</v>
      </c>
      <c r="CS47" s="24">
        <f t="shared" si="48"/>
        <v>0</v>
      </c>
      <c r="CT47" s="24">
        <f t="shared" si="48"/>
        <v>0</v>
      </c>
      <c r="CU47" s="24">
        <f t="shared" si="48"/>
        <v>0</v>
      </c>
      <c r="CV47" s="24">
        <f t="shared" si="58"/>
        <v>0</v>
      </c>
      <c r="CW47" s="24">
        <f t="shared" si="58"/>
        <v>0</v>
      </c>
      <c r="CX47" s="24">
        <f t="shared" si="58"/>
        <v>0</v>
      </c>
      <c r="CY47" s="24">
        <f t="shared" si="50"/>
        <v>0</v>
      </c>
      <c r="CZ47" s="24">
        <f t="shared" si="50"/>
        <v>0</v>
      </c>
      <c r="DA47" s="24">
        <f t="shared" si="50"/>
        <v>0</v>
      </c>
      <c r="DB47" s="24">
        <f t="shared" si="59"/>
        <v>0</v>
      </c>
      <c r="DC47" s="24">
        <f t="shared" si="59"/>
        <v>766660</v>
      </c>
      <c r="DD47" s="24">
        <f t="shared" si="59"/>
        <v>0</v>
      </c>
      <c r="DE47" s="24"/>
      <c r="DF47" s="24">
        <f t="shared" si="60"/>
        <v>0</v>
      </c>
      <c r="DG47" s="24">
        <f t="shared" si="53"/>
        <v>0</v>
      </c>
      <c r="DH47" s="24">
        <f t="shared" si="61"/>
        <v>0</v>
      </c>
      <c r="DJ47" s="77"/>
      <c r="DK47" s="77"/>
      <c r="DL47" s="196">
        <f t="shared" si="43"/>
        <v>10000000</v>
      </c>
      <c r="DM47" s="197">
        <f t="shared" si="44"/>
        <v>9233340</v>
      </c>
      <c r="DN47" s="77"/>
    </row>
    <row r="48" spans="1:118" hidden="1" x14ac:dyDescent="0.25">
      <c r="A48" s="238"/>
      <c r="B48" s="232"/>
      <c r="C48" s="20" t="s">
        <v>155</v>
      </c>
      <c r="D48" s="21" t="s">
        <v>156</v>
      </c>
      <c r="E48" s="22">
        <v>410</v>
      </c>
      <c r="F48" s="23" t="s">
        <v>91</v>
      </c>
      <c r="G48" s="24">
        <f t="shared" si="31"/>
        <v>20000000</v>
      </c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>
        <v>20000000</v>
      </c>
      <c r="V48" s="24"/>
      <c r="W48" s="24"/>
      <c r="X48" s="24"/>
      <c r="Y48" s="54"/>
      <c r="Z48" s="54"/>
      <c r="AA48" s="25">
        <f t="shared" si="1"/>
        <v>0.99988060000000001</v>
      </c>
      <c r="AB48" s="24">
        <f t="shared" si="32"/>
        <v>19997612</v>
      </c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>
        <f>+'[4]AGOSTO 2016'!$Y$1965</f>
        <v>19997612</v>
      </c>
      <c r="AR48" s="24"/>
      <c r="AS48" s="24"/>
      <c r="AT48" s="24"/>
      <c r="AU48" s="24"/>
      <c r="AV48" s="24"/>
      <c r="AW48" s="25">
        <f t="shared" si="3"/>
        <v>1.1939999999999173E-4</v>
      </c>
      <c r="AX48" s="24">
        <f t="shared" si="33"/>
        <v>2388</v>
      </c>
      <c r="AY48" s="24">
        <f t="shared" si="45"/>
        <v>0</v>
      </c>
      <c r="AZ48" s="24">
        <f t="shared" si="45"/>
        <v>0</v>
      </c>
      <c r="BA48" s="24">
        <f t="shared" si="45"/>
        <v>0</v>
      </c>
      <c r="BB48" s="24">
        <f t="shared" si="55"/>
        <v>0</v>
      </c>
      <c r="BC48" s="24">
        <f t="shared" si="55"/>
        <v>0</v>
      </c>
      <c r="BD48" s="24">
        <f t="shared" si="55"/>
        <v>0</v>
      </c>
      <c r="BE48" s="24">
        <f t="shared" si="55"/>
        <v>0</v>
      </c>
      <c r="BF48" s="24">
        <f t="shared" si="55"/>
        <v>0</v>
      </c>
      <c r="BG48" s="24">
        <f t="shared" si="62"/>
        <v>0</v>
      </c>
      <c r="BH48" s="24">
        <f t="shared" si="55"/>
        <v>0</v>
      </c>
      <c r="BI48" s="24">
        <f t="shared" si="55"/>
        <v>0</v>
      </c>
      <c r="BJ48" s="24">
        <f t="shared" si="55"/>
        <v>0</v>
      </c>
      <c r="BK48" s="24"/>
      <c r="BL48" s="24">
        <f t="shared" si="55"/>
        <v>2388</v>
      </c>
      <c r="BM48" s="24">
        <f t="shared" si="55"/>
        <v>0</v>
      </c>
      <c r="BN48" s="24"/>
      <c r="BO48" s="24"/>
      <c r="BP48" s="24">
        <f t="shared" si="56"/>
        <v>0</v>
      </c>
      <c r="BQ48" s="24">
        <f t="shared" si="57"/>
        <v>0</v>
      </c>
      <c r="BR48" s="25">
        <f t="shared" si="10"/>
        <v>0.99988060000000001</v>
      </c>
      <c r="BS48" s="24">
        <f t="shared" si="36"/>
        <v>19997612</v>
      </c>
      <c r="BT48" s="24"/>
      <c r="BU48" s="24"/>
      <c r="BV48" s="24"/>
      <c r="BW48" s="24"/>
      <c r="BX48" s="24"/>
      <c r="BY48" s="24"/>
      <c r="BZ48" s="24"/>
      <c r="CA48" s="24"/>
      <c r="CB48" s="24"/>
      <c r="CC48" s="24"/>
      <c r="CD48" s="24"/>
      <c r="CE48" s="24"/>
      <c r="CF48" s="24"/>
      <c r="CG48" s="24"/>
      <c r="CH48" s="24">
        <f>+'[1]SEPTIEMBRE 2016'!$Y$2332</f>
        <v>19997612</v>
      </c>
      <c r="CI48" s="24"/>
      <c r="CJ48" s="24"/>
      <c r="CK48" s="24"/>
      <c r="CL48" s="24"/>
      <c r="CM48" s="24"/>
      <c r="CN48" s="25">
        <f t="shared" si="12"/>
        <v>1.1939999999999173E-4</v>
      </c>
      <c r="CO48" s="24">
        <f t="shared" si="37"/>
        <v>2388</v>
      </c>
      <c r="CP48" s="24">
        <f t="shared" si="48"/>
        <v>0</v>
      </c>
      <c r="CQ48" s="24">
        <f t="shared" si="48"/>
        <v>0</v>
      </c>
      <c r="CR48" s="24">
        <f t="shared" si="48"/>
        <v>0</v>
      </c>
      <c r="CS48" s="24">
        <f t="shared" si="48"/>
        <v>0</v>
      </c>
      <c r="CT48" s="24">
        <f t="shared" si="48"/>
        <v>0</v>
      </c>
      <c r="CU48" s="24">
        <f t="shared" si="48"/>
        <v>0</v>
      </c>
      <c r="CV48" s="24">
        <f t="shared" si="58"/>
        <v>0</v>
      </c>
      <c r="CW48" s="24">
        <f t="shared" si="58"/>
        <v>0</v>
      </c>
      <c r="CX48" s="24">
        <f t="shared" si="58"/>
        <v>0</v>
      </c>
      <c r="CY48" s="24">
        <f t="shared" si="58"/>
        <v>0</v>
      </c>
      <c r="CZ48" s="24">
        <f t="shared" si="58"/>
        <v>0</v>
      </c>
      <c r="DA48" s="24">
        <f t="shared" si="58"/>
        <v>0</v>
      </c>
      <c r="DB48" s="24">
        <f t="shared" si="59"/>
        <v>0</v>
      </c>
      <c r="DC48" s="24">
        <f t="shared" si="59"/>
        <v>2388</v>
      </c>
      <c r="DD48" s="24">
        <f t="shared" si="59"/>
        <v>0</v>
      </c>
      <c r="DE48" s="24"/>
      <c r="DF48" s="24">
        <f t="shared" si="60"/>
        <v>0</v>
      </c>
      <c r="DG48" s="24">
        <f t="shared" ref="DG48:DG59" si="63">Y48-CL48</f>
        <v>0</v>
      </c>
      <c r="DH48" s="24">
        <f t="shared" si="61"/>
        <v>0</v>
      </c>
      <c r="DJ48" s="77"/>
      <c r="DK48" s="77"/>
      <c r="DL48" s="196">
        <f t="shared" si="43"/>
        <v>20000000</v>
      </c>
      <c r="DM48" s="197">
        <f t="shared" si="44"/>
        <v>19997612</v>
      </c>
      <c r="DN48" s="77"/>
    </row>
    <row r="49" spans="1:118" ht="30" hidden="1" x14ac:dyDescent="0.25">
      <c r="A49" s="238"/>
      <c r="B49" s="233"/>
      <c r="C49" s="20" t="s">
        <v>157</v>
      </c>
      <c r="D49" s="21" t="s">
        <v>158</v>
      </c>
      <c r="E49" s="22">
        <v>410</v>
      </c>
      <c r="F49" s="23" t="s">
        <v>91</v>
      </c>
      <c r="G49" s="24">
        <f t="shared" si="31"/>
        <v>13200000</v>
      </c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>
        <v>10000000</v>
      </c>
      <c r="V49" s="24"/>
      <c r="W49" s="24"/>
      <c r="X49" s="24"/>
      <c r="Y49" s="54"/>
      <c r="Z49" s="54">
        <f>3200000</f>
        <v>3200000</v>
      </c>
      <c r="AA49" s="25">
        <f t="shared" si="1"/>
        <v>0.75757575757575757</v>
      </c>
      <c r="AB49" s="24">
        <f t="shared" si="32"/>
        <v>10000000</v>
      </c>
      <c r="AC49" s="24"/>
      <c r="AD49" s="24"/>
      <c r="AE49" s="24"/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  <c r="AQ49" s="24">
        <f>+'[1]SEPTIEMBRE 2016'!$Y$2338</f>
        <v>10000000</v>
      </c>
      <c r="AR49" s="24"/>
      <c r="AS49" s="24"/>
      <c r="AT49" s="24"/>
      <c r="AU49" s="24"/>
      <c r="AV49" s="24"/>
      <c r="AW49" s="25">
        <f t="shared" si="3"/>
        <v>0.24242424242424243</v>
      </c>
      <c r="AX49" s="24">
        <f t="shared" si="33"/>
        <v>3200000</v>
      </c>
      <c r="AY49" s="24">
        <f t="shared" si="45"/>
        <v>0</v>
      </c>
      <c r="AZ49" s="24">
        <f t="shared" si="45"/>
        <v>0</v>
      </c>
      <c r="BA49" s="24">
        <f t="shared" si="45"/>
        <v>0</v>
      </c>
      <c r="BB49" s="24">
        <f t="shared" si="55"/>
        <v>0</v>
      </c>
      <c r="BC49" s="24">
        <f t="shared" si="55"/>
        <v>0</v>
      </c>
      <c r="BD49" s="24">
        <f t="shared" si="55"/>
        <v>0</v>
      </c>
      <c r="BE49" s="24">
        <f t="shared" si="55"/>
        <v>0</v>
      </c>
      <c r="BF49" s="24">
        <f t="shared" si="55"/>
        <v>0</v>
      </c>
      <c r="BG49" s="24">
        <f t="shared" si="62"/>
        <v>0</v>
      </c>
      <c r="BH49" s="24">
        <f t="shared" si="55"/>
        <v>0</v>
      </c>
      <c r="BI49" s="24">
        <f t="shared" si="55"/>
        <v>0</v>
      </c>
      <c r="BJ49" s="24">
        <f t="shared" si="55"/>
        <v>0</v>
      </c>
      <c r="BK49" s="24"/>
      <c r="BL49" s="24">
        <f t="shared" si="55"/>
        <v>0</v>
      </c>
      <c r="BM49" s="24">
        <f t="shared" si="55"/>
        <v>0</v>
      </c>
      <c r="BN49" s="24"/>
      <c r="BO49" s="24"/>
      <c r="BP49" s="24">
        <f t="shared" si="56"/>
        <v>0</v>
      </c>
      <c r="BQ49" s="24">
        <f t="shared" si="57"/>
        <v>3200000</v>
      </c>
      <c r="BR49" s="25">
        <f t="shared" si="10"/>
        <v>0.24087121212121212</v>
      </c>
      <c r="BS49" s="24">
        <f t="shared" si="36"/>
        <v>3179500</v>
      </c>
      <c r="BT49" s="24"/>
      <c r="BU49" s="24"/>
      <c r="BV49" s="24"/>
      <c r="BW49" s="24"/>
      <c r="BX49" s="24"/>
      <c r="BY49" s="24"/>
      <c r="BZ49" s="24"/>
      <c r="CA49" s="24"/>
      <c r="CB49" s="24"/>
      <c r="CC49" s="24"/>
      <c r="CD49" s="24"/>
      <c r="CE49" s="24"/>
      <c r="CF49" s="24"/>
      <c r="CG49" s="24"/>
      <c r="CH49" s="24">
        <f>+'[8]ABRIL 2016'!$H$959</f>
        <v>3179500</v>
      </c>
      <c r="CI49" s="24"/>
      <c r="CJ49" s="24"/>
      <c r="CK49" s="24"/>
      <c r="CL49" s="24"/>
      <c r="CM49" s="24"/>
      <c r="CN49" s="25">
        <f t="shared" si="12"/>
        <v>0.7591287878787879</v>
      </c>
      <c r="CO49" s="24">
        <f t="shared" si="37"/>
        <v>10020500</v>
      </c>
      <c r="CP49" s="24">
        <f t="shared" si="48"/>
        <v>0</v>
      </c>
      <c r="CQ49" s="24">
        <f t="shared" si="48"/>
        <v>0</v>
      </c>
      <c r="CR49" s="24">
        <f t="shared" si="48"/>
        <v>0</v>
      </c>
      <c r="CS49" s="24">
        <f t="shared" si="48"/>
        <v>0</v>
      </c>
      <c r="CT49" s="24">
        <f t="shared" si="48"/>
        <v>0</v>
      </c>
      <c r="CU49" s="24">
        <f t="shared" si="48"/>
        <v>0</v>
      </c>
      <c r="CV49" s="24">
        <f t="shared" si="58"/>
        <v>0</v>
      </c>
      <c r="CW49" s="24">
        <f t="shared" si="58"/>
        <v>0</v>
      </c>
      <c r="CX49" s="24">
        <f t="shared" si="58"/>
        <v>0</v>
      </c>
      <c r="CY49" s="24">
        <f t="shared" si="58"/>
        <v>0</v>
      </c>
      <c r="CZ49" s="24">
        <f t="shared" si="58"/>
        <v>0</v>
      </c>
      <c r="DA49" s="24">
        <f t="shared" si="58"/>
        <v>0</v>
      </c>
      <c r="DB49" s="24">
        <f t="shared" si="59"/>
        <v>0</v>
      </c>
      <c r="DC49" s="24">
        <f t="shared" si="59"/>
        <v>6820500</v>
      </c>
      <c r="DD49" s="24">
        <f t="shared" si="59"/>
        <v>0</v>
      </c>
      <c r="DE49" s="24"/>
      <c r="DF49" s="24">
        <f t="shared" si="60"/>
        <v>0</v>
      </c>
      <c r="DG49" s="24">
        <f t="shared" si="63"/>
        <v>0</v>
      </c>
      <c r="DH49" s="24">
        <f t="shared" si="61"/>
        <v>3200000</v>
      </c>
      <c r="DJ49" s="77"/>
      <c r="DK49" s="77"/>
      <c r="DL49" s="196">
        <f t="shared" si="43"/>
        <v>13200000</v>
      </c>
      <c r="DM49" s="197">
        <f t="shared" si="44"/>
        <v>3179500</v>
      </c>
      <c r="DN49" s="77"/>
    </row>
    <row r="50" spans="1:118" ht="30.75" hidden="1" customHeight="1" x14ac:dyDescent="0.25">
      <c r="A50" s="238" t="s">
        <v>87</v>
      </c>
      <c r="B50" s="231" t="s">
        <v>159</v>
      </c>
      <c r="C50" s="20" t="s">
        <v>160</v>
      </c>
      <c r="D50" s="21" t="s">
        <v>161</v>
      </c>
      <c r="E50" s="22">
        <v>410</v>
      </c>
      <c r="F50" s="23" t="s">
        <v>91</v>
      </c>
      <c r="G50" s="24">
        <f t="shared" si="31"/>
        <v>374741836</v>
      </c>
      <c r="H50" s="24"/>
      <c r="I50" s="24">
        <v>270000000</v>
      </c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54">
        <v>104741836</v>
      </c>
      <c r="Z50" s="54"/>
      <c r="AA50" s="25">
        <f t="shared" si="1"/>
        <v>1</v>
      </c>
      <c r="AB50" s="24">
        <f t="shared" si="32"/>
        <v>374741836</v>
      </c>
      <c r="AC50" s="24"/>
      <c r="AD50" s="24"/>
      <c r="AE50" s="24">
        <f>+'[2]ENERO 2016'!$M$432</f>
        <v>270000000</v>
      </c>
      <c r="AF50" s="24"/>
      <c r="AG50" s="24"/>
      <c r="AH50" s="24"/>
      <c r="AI50" s="24"/>
      <c r="AJ50" s="24"/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>
        <f>+'[4]AGOSTO 2016'!$AF$1980</f>
        <v>104741836</v>
      </c>
      <c r="AV50" s="24"/>
      <c r="AW50" s="25">
        <f t="shared" si="3"/>
        <v>0</v>
      </c>
      <c r="AX50" s="24">
        <f t="shared" si="33"/>
        <v>0</v>
      </c>
      <c r="AY50" s="24">
        <f t="shared" si="45"/>
        <v>0</v>
      </c>
      <c r="AZ50" s="24">
        <f t="shared" si="45"/>
        <v>0</v>
      </c>
      <c r="BA50" s="24">
        <f t="shared" si="45"/>
        <v>0</v>
      </c>
      <c r="BB50" s="24">
        <f t="shared" si="55"/>
        <v>0</v>
      </c>
      <c r="BC50" s="24">
        <f t="shared" si="55"/>
        <v>0</v>
      </c>
      <c r="BD50" s="24">
        <f t="shared" si="55"/>
        <v>0</v>
      </c>
      <c r="BE50" s="24">
        <f t="shared" si="55"/>
        <v>0</v>
      </c>
      <c r="BF50" s="24">
        <f t="shared" si="55"/>
        <v>0</v>
      </c>
      <c r="BG50" s="24">
        <f t="shared" si="62"/>
        <v>0</v>
      </c>
      <c r="BH50" s="24">
        <f t="shared" si="55"/>
        <v>0</v>
      </c>
      <c r="BI50" s="24">
        <f t="shared" si="55"/>
        <v>0</v>
      </c>
      <c r="BJ50" s="24">
        <f t="shared" si="55"/>
        <v>0</v>
      </c>
      <c r="BK50" s="24">
        <f>+T50-AP50</f>
        <v>0</v>
      </c>
      <c r="BL50" s="24">
        <f t="shared" si="55"/>
        <v>0</v>
      </c>
      <c r="BM50" s="24">
        <f t="shared" si="55"/>
        <v>0</v>
      </c>
      <c r="BN50" s="24"/>
      <c r="BO50" s="24"/>
      <c r="BP50" s="24">
        <f t="shared" si="56"/>
        <v>0</v>
      </c>
      <c r="BQ50" s="24">
        <f t="shared" si="57"/>
        <v>0</v>
      </c>
      <c r="BR50" s="25">
        <f t="shared" si="10"/>
        <v>0.75724210840446438</v>
      </c>
      <c r="BS50" s="24">
        <f t="shared" si="36"/>
        <v>283770298</v>
      </c>
      <c r="BT50" s="24"/>
      <c r="BU50" s="24"/>
      <c r="BV50" s="24">
        <f>+'[2]ENERO 2016'!$H$430</f>
        <v>270000000</v>
      </c>
      <c r="BW50" s="24"/>
      <c r="BX50" s="24"/>
      <c r="BY50" s="24"/>
      <c r="BZ50" s="24"/>
      <c r="CA50" s="24"/>
      <c r="CB50" s="24"/>
      <c r="CC50" s="24"/>
      <c r="CD50" s="24"/>
      <c r="CE50" s="24"/>
      <c r="CF50" s="24"/>
      <c r="CG50" s="24"/>
      <c r="CH50" s="24"/>
      <c r="CI50" s="24"/>
      <c r="CJ50" s="24"/>
      <c r="CK50" s="24"/>
      <c r="CL50" s="24">
        <f>+'[8]ABRIL 2016'!$H$975+'[7]MAYO 2016'!$AF$1142</f>
        <v>13770298</v>
      </c>
      <c r="CM50" s="24"/>
      <c r="CN50" s="25">
        <f t="shared" si="12"/>
        <v>0.24275789159553562</v>
      </c>
      <c r="CO50" s="24">
        <f t="shared" si="37"/>
        <v>90971538</v>
      </c>
      <c r="CP50" s="24">
        <f t="shared" si="48"/>
        <v>0</v>
      </c>
      <c r="CQ50" s="24">
        <f t="shared" si="48"/>
        <v>0</v>
      </c>
      <c r="CR50" s="24">
        <f t="shared" si="48"/>
        <v>0</v>
      </c>
      <c r="CS50" s="24">
        <f t="shared" si="48"/>
        <v>0</v>
      </c>
      <c r="CT50" s="24">
        <f t="shared" si="48"/>
        <v>0</v>
      </c>
      <c r="CU50" s="24">
        <f t="shared" si="48"/>
        <v>0</v>
      </c>
      <c r="CV50" s="24">
        <f t="shared" si="58"/>
        <v>0</v>
      </c>
      <c r="CW50" s="24">
        <f t="shared" si="58"/>
        <v>0</v>
      </c>
      <c r="CX50" s="24">
        <f t="shared" si="58"/>
        <v>0</v>
      </c>
      <c r="CY50" s="24">
        <f t="shared" ref="CY50:DA59" si="64">Q50-CD50</f>
        <v>0</v>
      </c>
      <c r="CZ50" s="24">
        <f t="shared" si="64"/>
        <v>0</v>
      </c>
      <c r="DA50" s="24">
        <f t="shared" si="64"/>
        <v>0</v>
      </c>
      <c r="DB50" s="24">
        <f t="shared" si="59"/>
        <v>0</v>
      </c>
      <c r="DC50" s="24">
        <f t="shared" si="59"/>
        <v>0</v>
      </c>
      <c r="DD50" s="24">
        <f t="shared" si="59"/>
        <v>0</v>
      </c>
      <c r="DE50" s="24"/>
      <c r="DF50" s="24">
        <f t="shared" si="60"/>
        <v>0</v>
      </c>
      <c r="DG50" s="24">
        <f t="shared" si="63"/>
        <v>90971538</v>
      </c>
      <c r="DH50" s="24">
        <f t="shared" si="61"/>
        <v>0</v>
      </c>
      <c r="DJ50" s="77"/>
      <c r="DK50" s="77"/>
      <c r="DL50" s="196">
        <f t="shared" si="43"/>
        <v>374741836</v>
      </c>
      <c r="DM50" s="197">
        <f t="shared" si="44"/>
        <v>283770298</v>
      </c>
      <c r="DN50" s="77"/>
    </row>
    <row r="51" spans="1:118" s="58" customFormat="1" ht="35.25" hidden="1" customHeight="1" x14ac:dyDescent="0.25">
      <c r="A51" s="238"/>
      <c r="B51" s="233"/>
      <c r="C51" s="55" t="s">
        <v>162</v>
      </c>
      <c r="D51" s="21" t="s">
        <v>163</v>
      </c>
      <c r="E51" s="22">
        <v>410</v>
      </c>
      <c r="F51" s="23" t="s">
        <v>91</v>
      </c>
      <c r="G51" s="24">
        <f t="shared" si="31"/>
        <v>30000000</v>
      </c>
      <c r="H51" s="56"/>
      <c r="I51" s="54">
        <v>30000000</v>
      </c>
      <c r="J51" s="54"/>
      <c r="K51" s="56"/>
      <c r="L51" s="54"/>
      <c r="M51" s="54"/>
      <c r="N51" s="54"/>
      <c r="O51" s="54"/>
      <c r="P51" s="54"/>
      <c r="Q51" s="54"/>
      <c r="R51" s="54"/>
      <c r="S51" s="54"/>
      <c r="T51" s="54"/>
      <c r="U51" s="54"/>
      <c r="V51" s="54"/>
      <c r="W51" s="54"/>
      <c r="X51" s="54"/>
      <c r="Y51" s="54"/>
      <c r="Z51" s="54"/>
      <c r="AA51" s="57">
        <f t="shared" si="1"/>
        <v>1</v>
      </c>
      <c r="AB51" s="24">
        <f t="shared" si="32"/>
        <v>30000000</v>
      </c>
      <c r="AC51" s="54"/>
      <c r="AD51" s="54"/>
      <c r="AE51" s="54">
        <f>+'[5]JULIO 2016'!$M$1444</f>
        <v>30000000</v>
      </c>
      <c r="AF51" s="54"/>
      <c r="AG51" s="54"/>
      <c r="AH51" s="54"/>
      <c r="AI51" s="54"/>
      <c r="AJ51" s="54"/>
      <c r="AK51" s="54"/>
      <c r="AL51" s="54"/>
      <c r="AM51" s="54"/>
      <c r="AN51" s="54"/>
      <c r="AO51" s="54"/>
      <c r="AP51" s="54"/>
      <c r="AQ51" s="54"/>
      <c r="AR51" s="54"/>
      <c r="AS51" s="54"/>
      <c r="AT51" s="54"/>
      <c r="AU51" s="54"/>
      <c r="AV51" s="54"/>
      <c r="AW51" s="57">
        <f t="shared" si="3"/>
        <v>0</v>
      </c>
      <c r="AX51" s="24">
        <f t="shared" si="33"/>
        <v>0</v>
      </c>
      <c r="AY51" s="24">
        <f t="shared" si="45"/>
        <v>0</v>
      </c>
      <c r="AZ51" s="24">
        <f t="shared" si="45"/>
        <v>0</v>
      </c>
      <c r="BA51" s="24">
        <f t="shared" si="45"/>
        <v>0</v>
      </c>
      <c r="BB51" s="24">
        <f t="shared" si="55"/>
        <v>0</v>
      </c>
      <c r="BC51" s="24">
        <f t="shared" si="55"/>
        <v>0</v>
      </c>
      <c r="BD51" s="24">
        <f t="shared" si="55"/>
        <v>0</v>
      </c>
      <c r="BE51" s="24">
        <f t="shared" si="55"/>
        <v>0</v>
      </c>
      <c r="BF51" s="24">
        <f t="shared" si="55"/>
        <v>0</v>
      </c>
      <c r="BG51" s="24">
        <f t="shared" si="62"/>
        <v>0</v>
      </c>
      <c r="BH51" s="24">
        <f t="shared" si="55"/>
        <v>0</v>
      </c>
      <c r="BI51" s="24">
        <f t="shared" si="55"/>
        <v>0</v>
      </c>
      <c r="BJ51" s="24">
        <f t="shared" si="55"/>
        <v>0</v>
      </c>
      <c r="BK51" s="54"/>
      <c r="BL51" s="24">
        <f t="shared" si="55"/>
        <v>0</v>
      </c>
      <c r="BM51" s="24">
        <f t="shared" si="55"/>
        <v>0</v>
      </c>
      <c r="BN51" s="24"/>
      <c r="BO51" s="54"/>
      <c r="BP51" s="24">
        <f t="shared" si="56"/>
        <v>0</v>
      </c>
      <c r="BQ51" s="54">
        <f t="shared" si="57"/>
        <v>0</v>
      </c>
      <c r="BR51" s="57">
        <f t="shared" si="10"/>
        <v>1</v>
      </c>
      <c r="BS51" s="24">
        <f t="shared" si="36"/>
        <v>30000000</v>
      </c>
      <c r="BT51" s="54"/>
      <c r="BU51" s="54"/>
      <c r="BV51" s="54">
        <f>+'[4]AGOSTO 2016'!$H$1989</f>
        <v>30000000</v>
      </c>
      <c r="BW51" s="54"/>
      <c r="BX51" s="54"/>
      <c r="BY51" s="54"/>
      <c r="BZ51" s="54"/>
      <c r="CA51" s="54"/>
      <c r="CB51" s="54"/>
      <c r="CC51" s="54"/>
      <c r="CD51" s="54"/>
      <c r="CE51" s="54"/>
      <c r="CF51" s="54"/>
      <c r="CG51" s="54"/>
      <c r="CH51" s="54"/>
      <c r="CI51" s="54"/>
      <c r="CJ51" s="54"/>
      <c r="CK51" s="54"/>
      <c r="CL51" s="54"/>
      <c r="CM51" s="54"/>
      <c r="CN51" s="57">
        <f t="shared" si="12"/>
        <v>0</v>
      </c>
      <c r="CO51" s="24">
        <f t="shared" si="37"/>
        <v>0</v>
      </c>
      <c r="CP51" s="24">
        <f t="shared" si="48"/>
        <v>0</v>
      </c>
      <c r="CQ51" s="24">
        <f t="shared" si="48"/>
        <v>0</v>
      </c>
      <c r="CR51" s="24">
        <f t="shared" si="48"/>
        <v>0</v>
      </c>
      <c r="CS51" s="24">
        <f t="shared" si="48"/>
        <v>0</v>
      </c>
      <c r="CT51" s="24">
        <f t="shared" si="48"/>
        <v>0</v>
      </c>
      <c r="CU51" s="24">
        <f t="shared" si="48"/>
        <v>0</v>
      </c>
      <c r="CV51" s="24">
        <f>N51-CA51</f>
        <v>0</v>
      </c>
      <c r="CW51" s="24">
        <f>O51-CB51</f>
        <v>0</v>
      </c>
      <c r="CX51" s="24">
        <f>P51-CC51</f>
        <v>0</v>
      </c>
      <c r="CY51" s="24">
        <f t="shared" si="64"/>
        <v>0</v>
      </c>
      <c r="CZ51" s="24">
        <f t="shared" si="64"/>
        <v>0</v>
      </c>
      <c r="DA51" s="24">
        <f t="shared" si="64"/>
        <v>0</v>
      </c>
      <c r="DB51" s="24">
        <f>T51-CG51</f>
        <v>0</v>
      </c>
      <c r="DC51" s="24">
        <f>U51-CH51</f>
        <v>0</v>
      </c>
      <c r="DD51" s="24">
        <f>V51-CI51</f>
        <v>0</v>
      </c>
      <c r="DE51" s="24"/>
      <c r="DF51" s="24">
        <f>X51-CK51</f>
        <v>0</v>
      </c>
      <c r="DG51" s="24">
        <f t="shared" si="63"/>
        <v>0</v>
      </c>
      <c r="DH51" s="24">
        <f>Z51-CM51</f>
        <v>0</v>
      </c>
      <c r="DJ51" s="77"/>
      <c r="DK51" s="77"/>
      <c r="DL51" s="196">
        <f t="shared" si="43"/>
        <v>30000000</v>
      </c>
      <c r="DM51" s="197">
        <f t="shared" si="44"/>
        <v>30000000</v>
      </c>
      <c r="DN51" s="77"/>
    </row>
    <row r="52" spans="1:118" ht="46.5" hidden="1" customHeight="1" x14ac:dyDescent="0.25">
      <c r="A52" s="238"/>
      <c r="B52" s="231" t="s">
        <v>164</v>
      </c>
      <c r="C52" s="20" t="s">
        <v>165</v>
      </c>
      <c r="D52" s="21" t="s">
        <v>166</v>
      </c>
      <c r="E52" s="22">
        <v>410</v>
      </c>
      <c r="F52" s="23" t="s">
        <v>91</v>
      </c>
      <c r="G52" s="24">
        <f t="shared" si="31"/>
        <v>90000000</v>
      </c>
      <c r="H52" s="45"/>
      <c r="I52" s="24">
        <f>21264791</f>
        <v>21264791</v>
      </c>
      <c r="J52" s="24"/>
      <c r="K52" s="45"/>
      <c r="L52" s="33"/>
      <c r="M52" s="33"/>
      <c r="N52" s="33"/>
      <c r="O52" s="24"/>
      <c r="P52" s="24"/>
      <c r="Q52" s="24"/>
      <c r="R52" s="24"/>
      <c r="S52" s="24"/>
      <c r="T52" s="24"/>
      <c r="U52" s="24">
        <f>90000000-21264791</f>
        <v>68735209</v>
      </c>
      <c r="V52" s="24"/>
      <c r="W52" s="24"/>
      <c r="X52" s="24"/>
      <c r="Y52" s="24"/>
      <c r="Z52" s="24"/>
      <c r="AA52" s="25">
        <f t="shared" si="1"/>
        <v>0.99282323333333333</v>
      </c>
      <c r="AB52" s="24">
        <f t="shared" si="32"/>
        <v>89354091</v>
      </c>
      <c r="AC52" s="24"/>
      <c r="AD52" s="24"/>
      <c r="AE52" s="24">
        <f>+'[4]AGOSTO 2016'!$M$2000</f>
        <v>21264791</v>
      </c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>
        <f>+'[1]SEPTIEMBRE 2016'!$Y$2370</f>
        <v>68089300</v>
      </c>
      <c r="AR52" s="24"/>
      <c r="AS52" s="24"/>
      <c r="AT52" s="24"/>
      <c r="AU52" s="24"/>
      <c r="AV52" s="24"/>
      <c r="AW52" s="25">
        <f t="shared" si="3"/>
        <v>7.1767666666666674E-3</v>
      </c>
      <c r="AX52" s="24">
        <f t="shared" si="33"/>
        <v>645909</v>
      </c>
      <c r="AY52" s="24">
        <f t="shared" si="45"/>
        <v>0</v>
      </c>
      <c r="AZ52" s="24">
        <f t="shared" si="45"/>
        <v>0</v>
      </c>
      <c r="BA52" s="24">
        <f t="shared" si="45"/>
        <v>0</v>
      </c>
      <c r="BB52" s="24">
        <f t="shared" si="55"/>
        <v>0</v>
      </c>
      <c r="BC52" s="24">
        <f t="shared" si="55"/>
        <v>0</v>
      </c>
      <c r="BD52" s="24">
        <f t="shared" si="55"/>
        <v>0</v>
      </c>
      <c r="BE52" s="24">
        <f t="shared" si="55"/>
        <v>0</v>
      </c>
      <c r="BF52" s="24">
        <f t="shared" si="55"/>
        <v>0</v>
      </c>
      <c r="BG52" s="24">
        <f t="shared" si="62"/>
        <v>0</v>
      </c>
      <c r="BH52" s="24">
        <f t="shared" si="55"/>
        <v>0</v>
      </c>
      <c r="BI52" s="24">
        <f t="shared" si="55"/>
        <v>0</v>
      </c>
      <c r="BJ52" s="24">
        <f t="shared" si="55"/>
        <v>0</v>
      </c>
      <c r="BK52" s="24">
        <f>+T52-AP52</f>
        <v>0</v>
      </c>
      <c r="BL52" s="24">
        <f t="shared" si="55"/>
        <v>645909</v>
      </c>
      <c r="BM52" s="24">
        <f t="shared" si="55"/>
        <v>0</v>
      </c>
      <c r="BN52" s="24"/>
      <c r="BO52" s="24"/>
      <c r="BP52" s="24">
        <f t="shared" si="56"/>
        <v>0</v>
      </c>
      <c r="BQ52" s="24">
        <f t="shared" si="57"/>
        <v>0</v>
      </c>
      <c r="BR52" s="25">
        <f t="shared" si="10"/>
        <v>0.83634731111111116</v>
      </c>
      <c r="BS52" s="24">
        <f t="shared" si="36"/>
        <v>75271258</v>
      </c>
      <c r="BT52" s="24"/>
      <c r="BU52" s="24"/>
      <c r="BV52" s="24">
        <f>+'[1]SEPTIEMBRE 2016'!$H$2382</f>
        <v>9219791</v>
      </c>
      <c r="BW52" s="24"/>
      <c r="BX52" s="24"/>
      <c r="BY52" s="24"/>
      <c r="BZ52" s="24"/>
      <c r="CA52" s="24"/>
      <c r="CB52" s="24"/>
      <c r="CC52" s="24"/>
      <c r="CD52" s="24"/>
      <c r="CE52" s="24"/>
      <c r="CF52" s="24"/>
      <c r="CG52" s="24"/>
      <c r="CH52" s="24">
        <f>+'[1]SEPTIEMBRE 2016'!$H$2368-BV52</f>
        <v>66051467</v>
      </c>
      <c r="CI52" s="24"/>
      <c r="CJ52" s="24"/>
      <c r="CK52" s="24"/>
      <c r="CL52" s="24"/>
      <c r="CM52" s="24"/>
      <c r="CN52" s="25">
        <f t="shared" si="12"/>
        <v>0.16365268888888884</v>
      </c>
      <c r="CO52" s="24">
        <f t="shared" si="37"/>
        <v>14728742</v>
      </c>
      <c r="CP52" s="24">
        <f t="shared" si="48"/>
        <v>0</v>
      </c>
      <c r="CQ52" s="24">
        <f t="shared" si="48"/>
        <v>12045000</v>
      </c>
      <c r="CR52" s="24">
        <f t="shared" si="48"/>
        <v>0</v>
      </c>
      <c r="CS52" s="24">
        <f t="shared" si="48"/>
        <v>0</v>
      </c>
      <c r="CT52" s="24">
        <f t="shared" si="48"/>
        <v>0</v>
      </c>
      <c r="CU52" s="24">
        <f t="shared" si="48"/>
        <v>0</v>
      </c>
      <c r="CV52" s="24">
        <f>+N52-CA52</f>
        <v>0</v>
      </c>
      <c r="CW52" s="24">
        <f>+O52-CB52</f>
        <v>0</v>
      </c>
      <c r="CX52" s="24">
        <f>+P52-CC52</f>
        <v>0</v>
      </c>
      <c r="CY52" s="24">
        <f t="shared" si="64"/>
        <v>0</v>
      </c>
      <c r="CZ52" s="24">
        <f t="shared" si="64"/>
        <v>0</v>
      </c>
      <c r="DA52" s="24">
        <f t="shared" si="64"/>
        <v>0</v>
      </c>
      <c r="DB52" s="24">
        <f>+T52-CG52</f>
        <v>0</v>
      </c>
      <c r="DC52" s="24">
        <f>+U52-CH52</f>
        <v>2683742</v>
      </c>
      <c r="DD52" s="24">
        <f>+V52-CI52</f>
        <v>0</v>
      </c>
      <c r="DE52" s="24"/>
      <c r="DF52" s="24">
        <f>+X52-CK52</f>
        <v>0</v>
      </c>
      <c r="DG52" s="24">
        <f t="shared" si="63"/>
        <v>0</v>
      </c>
      <c r="DH52" s="24">
        <f>+Z52-CM52</f>
        <v>0</v>
      </c>
      <c r="DI52" s="43"/>
      <c r="DJ52" s="77"/>
      <c r="DK52" s="77"/>
      <c r="DL52" s="196">
        <f t="shared" si="43"/>
        <v>90000000</v>
      </c>
      <c r="DM52" s="197">
        <f t="shared" si="44"/>
        <v>75271258</v>
      </c>
      <c r="DN52" s="77"/>
    </row>
    <row r="53" spans="1:118" ht="21.75" hidden="1" customHeight="1" x14ac:dyDescent="0.25">
      <c r="A53" s="238"/>
      <c r="B53" s="233"/>
      <c r="C53" s="20" t="s">
        <v>167</v>
      </c>
      <c r="D53" s="21" t="s">
        <v>116</v>
      </c>
      <c r="E53" s="22">
        <v>410</v>
      </c>
      <c r="F53" s="23" t="s">
        <v>76</v>
      </c>
      <c r="G53" s="24">
        <f t="shared" si="31"/>
        <v>5060373</v>
      </c>
      <c r="H53" s="45"/>
      <c r="I53" s="24"/>
      <c r="J53" s="24"/>
      <c r="K53" s="45"/>
      <c r="L53" s="33"/>
      <c r="M53" s="33"/>
      <c r="N53" s="33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>
        <f>3000000+2060373</f>
        <v>5060373</v>
      </c>
      <c r="AA53" s="25">
        <f t="shared" si="1"/>
        <v>0.86276327851721601</v>
      </c>
      <c r="AB53" s="24">
        <f t="shared" si="32"/>
        <v>4365904</v>
      </c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>
        <f>+'[1]SEPTIEMBRE 2016'!$AG$2392</f>
        <v>4365904</v>
      </c>
      <c r="AW53" s="25">
        <f t="shared" si="3"/>
        <v>0.13723672148278399</v>
      </c>
      <c r="AX53" s="24">
        <f t="shared" si="33"/>
        <v>694469</v>
      </c>
      <c r="AY53" s="24">
        <f t="shared" si="45"/>
        <v>0</v>
      </c>
      <c r="AZ53" s="24">
        <f t="shared" si="45"/>
        <v>0</v>
      </c>
      <c r="BA53" s="24">
        <f t="shared" si="45"/>
        <v>0</v>
      </c>
      <c r="BB53" s="24">
        <f t="shared" si="55"/>
        <v>0</v>
      </c>
      <c r="BC53" s="24">
        <f t="shared" si="55"/>
        <v>0</v>
      </c>
      <c r="BD53" s="24">
        <f t="shared" si="55"/>
        <v>0</v>
      </c>
      <c r="BE53" s="24">
        <f t="shared" si="55"/>
        <v>0</v>
      </c>
      <c r="BF53" s="24">
        <f t="shared" si="55"/>
        <v>0</v>
      </c>
      <c r="BG53" s="24">
        <f t="shared" si="62"/>
        <v>0</v>
      </c>
      <c r="BH53" s="24">
        <f t="shared" si="55"/>
        <v>0</v>
      </c>
      <c r="BI53" s="24">
        <f t="shared" si="55"/>
        <v>0</v>
      </c>
      <c r="BJ53" s="24">
        <f t="shared" si="55"/>
        <v>0</v>
      </c>
      <c r="BK53" s="24"/>
      <c r="BL53" s="24">
        <f t="shared" si="55"/>
        <v>0</v>
      </c>
      <c r="BM53" s="24">
        <f t="shared" si="55"/>
        <v>0</v>
      </c>
      <c r="BN53" s="24"/>
      <c r="BO53" s="24"/>
      <c r="BP53" s="24">
        <f t="shared" si="56"/>
        <v>0</v>
      </c>
      <c r="BQ53" s="24">
        <f t="shared" si="57"/>
        <v>694469</v>
      </c>
      <c r="BR53" s="25">
        <f t="shared" si="10"/>
        <v>0.86276327851721601</v>
      </c>
      <c r="BS53" s="24">
        <f t="shared" si="36"/>
        <v>4365904</v>
      </c>
      <c r="BT53" s="24"/>
      <c r="BU53" s="24"/>
      <c r="BV53" s="24"/>
      <c r="BW53" s="24"/>
      <c r="BX53" s="24"/>
      <c r="BY53" s="24"/>
      <c r="BZ53" s="24"/>
      <c r="CA53" s="24"/>
      <c r="CB53" s="24"/>
      <c r="CC53" s="24"/>
      <c r="CD53" s="24"/>
      <c r="CE53" s="24"/>
      <c r="CF53" s="24"/>
      <c r="CG53" s="24"/>
      <c r="CH53" s="24"/>
      <c r="CI53" s="24"/>
      <c r="CJ53" s="24"/>
      <c r="CK53" s="24"/>
      <c r="CL53" s="24"/>
      <c r="CM53" s="24">
        <f>+'[1]SEPTIEMBRE 2016'!$H$2390</f>
        <v>4365904</v>
      </c>
      <c r="CN53" s="25">
        <f t="shared" si="12"/>
        <v>0.13723672148278399</v>
      </c>
      <c r="CO53" s="24">
        <f t="shared" si="37"/>
        <v>694469</v>
      </c>
      <c r="CP53" s="24">
        <f t="shared" si="48"/>
        <v>0</v>
      </c>
      <c r="CQ53" s="24">
        <f t="shared" si="48"/>
        <v>0</v>
      </c>
      <c r="CR53" s="24">
        <f t="shared" si="48"/>
        <v>0</v>
      </c>
      <c r="CS53" s="24">
        <f t="shared" si="48"/>
        <v>0</v>
      </c>
      <c r="CT53" s="24">
        <f t="shared" si="48"/>
        <v>0</v>
      </c>
      <c r="CU53" s="24">
        <f t="shared" si="48"/>
        <v>0</v>
      </c>
      <c r="CV53" s="24">
        <f>N53-CA53</f>
        <v>0</v>
      </c>
      <c r="CW53" s="24">
        <f>O53-CB53</f>
        <v>0</v>
      </c>
      <c r="CX53" s="24">
        <f>P53-CC53</f>
        <v>0</v>
      </c>
      <c r="CY53" s="24">
        <f t="shared" si="64"/>
        <v>0</v>
      </c>
      <c r="CZ53" s="24">
        <f t="shared" si="64"/>
        <v>0</v>
      </c>
      <c r="DA53" s="24">
        <f t="shared" si="64"/>
        <v>0</v>
      </c>
      <c r="DB53" s="24">
        <f>T53-CG53</f>
        <v>0</v>
      </c>
      <c r="DC53" s="24">
        <f>U53-CH53</f>
        <v>0</v>
      </c>
      <c r="DD53" s="24">
        <f>V53-CI53</f>
        <v>0</v>
      </c>
      <c r="DE53" s="24"/>
      <c r="DF53" s="24">
        <f>X53-CK53</f>
        <v>0</v>
      </c>
      <c r="DG53" s="24">
        <f t="shared" si="63"/>
        <v>0</v>
      </c>
      <c r="DH53" s="24">
        <f>Z53-CM53</f>
        <v>694469</v>
      </c>
      <c r="DI53" s="43"/>
      <c r="DJ53" s="77"/>
      <c r="DK53" s="77"/>
      <c r="DL53" s="196">
        <f t="shared" si="43"/>
        <v>5060373</v>
      </c>
      <c r="DM53" s="197">
        <f t="shared" si="44"/>
        <v>4365904</v>
      </c>
      <c r="DN53" s="77"/>
    </row>
    <row r="54" spans="1:118" ht="51.75" hidden="1" customHeight="1" x14ac:dyDescent="0.25">
      <c r="A54" s="238"/>
      <c r="B54" s="231" t="s">
        <v>168</v>
      </c>
      <c r="C54" s="20" t="s">
        <v>169</v>
      </c>
      <c r="D54" s="21" t="s">
        <v>170</v>
      </c>
      <c r="E54" s="22">
        <v>410</v>
      </c>
      <c r="F54" s="23" t="s">
        <v>171</v>
      </c>
      <c r="G54" s="24">
        <f t="shared" si="31"/>
        <v>42000000</v>
      </c>
      <c r="H54" s="33"/>
      <c r="I54" s="24">
        <v>30000000</v>
      </c>
      <c r="J54" s="24"/>
      <c r="K54" s="33"/>
      <c r="L54" s="33"/>
      <c r="M54" s="33"/>
      <c r="N54" s="33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>
        <f>22000000+5000000-16000000+1000000</f>
        <v>12000000</v>
      </c>
      <c r="AA54" s="25">
        <f t="shared" si="1"/>
        <v>1</v>
      </c>
      <c r="AB54" s="24">
        <f t="shared" si="32"/>
        <v>42000000</v>
      </c>
      <c r="AC54" s="24"/>
      <c r="AD54" s="24"/>
      <c r="AE54" s="24">
        <v>30000000</v>
      </c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>
        <f>+'[4]AGOSTO 2016'!$AG$2028</f>
        <v>12000000</v>
      </c>
      <c r="AW54" s="25">
        <f t="shared" si="3"/>
        <v>0</v>
      </c>
      <c r="AX54" s="24">
        <f t="shared" si="33"/>
        <v>0</v>
      </c>
      <c r="AY54" s="24">
        <f t="shared" si="45"/>
        <v>0</v>
      </c>
      <c r="AZ54" s="24">
        <f t="shared" si="45"/>
        <v>0</v>
      </c>
      <c r="BA54" s="24">
        <f t="shared" si="45"/>
        <v>0</v>
      </c>
      <c r="BB54" s="24">
        <f t="shared" si="55"/>
        <v>0</v>
      </c>
      <c r="BC54" s="24">
        <f t="shared" si="55"/>
        <v>0</v>
      </c>
      <c r="BD54" s="24">
        <f t="shared" si="55"/>
        <v>0</v>
      </c>
      <c r="BE54" s="24">
        <f t="shared" si="55"/>
        <v>0</v>
      </c>
      <c r="BF54" s="24">
        <f t="shared" si="55"/>
        <v>0</v>
      </c>
      <c r="BG54" s="24">
        <f t="shared" si="62"/>
        <v>0</v>
      </c>
      <c r="BH54" s="24">
        <f t="shared" si="55"/>
        <v>0</v>
      </c>
      <c r="BI54" s="24">
        <f t="shared" si="55"/>
        <v>0</v>
      </c>
      <c r="BJ54" s="24">
        <f t="shared" si="55"/>
        <v>0</v>
      </c>
      <c r="BK54" s="24">
        <f t="shared" si="55"/>
        <v>0</v>
      </c>
      <c r="BL54" s="24">
        <f t="shared" si="55"/>
        <v>0</v>
      </c>
      <c r="BM54" s="24">
        <f t="shared" si="55"/>
        <v>0</v>
      </c>
      <c r="BN54" s="24"/>
      <c r="BO54" s="24"/>
      <c r="BP54" s="24">
        <f t="shared" si="56"/>
        <v>0</v>
      </c>
      <c r="BQ54" s="24">
        <f t="shared" si="57"/>
        <v>0</v>
      </c>
      <c r="BR54" s="25">
        <f t="shared" si="10"/>
        <v>0.99857790476190478</v>
      </c>
      <c r="BS54" s="24">
        <f t="shared" si="36"/>
        <v>41940272</v>
      </c>
      <c r="BT54" s="24"/>
      <c r="BU54" s="24"/>
      <c r="BV54" s="24">
        <f>+'[1]SEPTIEMBRE 2016'!$H$2409</f>
        <v>29940272</v>
      </c>
      <c r="BW54" s="24"/>
      <c r="BX54" s="24"/>
      <c r="BY54" s="24"/>
      <c r="BZ54" s="24"/>
      <c r="CA54" s="24"/>
      <c r="CB54" s="24"/>
      <c r="CC54" s="24"/>
      <c r="CD54" s="24"/>
      <c r="CE54" s="24"/>
      <c r="CF54" s="24"/>
      <c r="CG54" s="24"/>
      <c r="CH54" s="24"/>
      <c r="CI54" s="24"/>
      <c r="CJ54" s="24"/>
      <c r="CK54" s="24"/>
      <c r="CL54" s="24"/>
      <c r="CM54" s="24">
        <f>+'[1]SEPTIEMBRE 2016'!$H$2462+'[1]SEPTIEMBRE 2016'!$H$2464+'[1]SEPTIEMBRE 2016'!$H$2466+'[1]SEPTIEMBRE 2016'!$H$2407</f>
        <v>12000000</v>
      </c>
      <c r="CN54" s="25">
        <f t="shared" si="12"/>
        <v>1.4220952380952223E-3</v>
      </c>
      <c r="CO54" s="24">
        <f t="shared" si="37"/>
        <v>59728</v>
      </c>
      <c r="CP54" s="24">
        <f t="shared" si="48"/>
        <v>0</v>
      </c>
      <c r="CQ54" s="24">
        <f t="shared" si="48"/>
        <v>59728</v>
      </c>
      <c r="CR54" s="24">
        <f t="shared" si="48"/>
        <v>0</v>
      </c>
      <c r="CS54" s="24">
        <f t="shared" si="48"/>
        <v>0</v>
      </c>
      <c r="CT54" s="24">
        <f t="shared" si="48"/>
        <v>0</v>
      </c>
      <c r="CU54" s="24">
        <f t="shared" si="48"/>
        <v>0</v>
      </c>
      <c r="CV54" s="24">
        <f t="shared" ref="CV54:CW59" si="65">+N54-CA54</f>
        <v>0</v>
      </c>
      <c r="CW54" s="24">
        <f t="shared" si="65"/>
        <v>0</v>
      </c>
      <c r="CX54" s="24">
        <f t="shared" ref="CX54:CX59" si="66">P54-CC54</f>
        <v>0</v>
      </c>
      <c r="CY54" s="24">
        <f t="shared" si="64"/>
        <v>0</v>
      </c>
      <c r="CZ54" s="24">
        <f t="shared" si="64"/>
        <v>0</v>
      </c>
      <c r="DA54" s="24">
        <f t="shared" si="64"/>
        <v>0</v>
      </c>
      <c r="DB54" s="24">
        <f t="shared" ref="DB54:DD59" si="67">+T54-CG54</f>
        <v>0</v>
      </c>
      <c r="DC54" s="24">
        <f t="shared" si="67"/>
        <v>0</v>
      </c>
      <c r="DD54" s="24">
        <f t="shared" si="67"/>
        <v>0</v>
      </c>
      <c r="DE54" s="24"/>
      <c r="DF54" s="24">
        <f t="shared" ref="DF54:DF59" si="68">+X54-CK54</f>
        <v>0</v>
      </c>
      <c r="DG54" s="24">
        <f t="shared" si="63"/>
        <v>0</v>
      </c>
      <c r="DH54" s="24">
        <f t="shared" ref="DH54:DH59" si="69">+Z54-CM54</f>
        <v>0</v>
      </c>
      <c r="DJ54" s="77"/>
      <c r="DK54" s="77"/>
      <c r="DL54" s="196">
        <f t="shared" si="43"/>
        <v>42000000</v>
      </c>
      <c r="DM54" s="197">
        <f t="shared" si="44"/>
        <v>41940272</v>
      </c>
      <c r="DN54" s="77"/>
    </row>
    <row r="55" spans="1:118" ht="54" hidden="1" customHeight="1" x14ac:dyDescent="0.25">
      <c r="A55" s="238"/>
      <c r="B55" s="232"/>
      <c r="C55" s="20" t="s">
        <v>172</v>
      </c>
      <c r="D55" s="21" t="s">
        <v>173</v>
      </c>
      <c r="E55" s="22">
        <v>410</v>
      </c>
      <c r="F55" s="23" t="s">
        <v>91</v>
      </c>
      <c r="G55" s="24">
        <f t="shared" si="31"/>
        <v>10000000</v>
      </c>
      <c r="H55" s="33"/>
      <c r="I55" s="24"/>
      <c r="J55" s="24"/>
      <c r="K55" s="33"/>
      <c r="L55" s="33"/>
      <c r="M55" s="33"/>
      <c r="N55" s="33"/>
      <c r="O55" s="24"/>
      <c r="P55" s="24"/>
      <c r="Q55" s="24"/>
      <c r="R55" s="24"/>
      <c r="S55" s="24"/>
      <c r="T55" s="24"/>
      <c r="U55" s="24">
        <v>10000000</v>
      </c>
      <c r="V55" s="24"/>
      <c r="W55" s="24"/>
      <c r="X55" s="24"/>
      <c r="Y55" s="24"/>
      <c r="Z55" s="24"/>
      <c r="AA55" s="25">
        <f t="shared" si="1"/>
        <v>1</v>
      </c>
      <c r="AB55" s="24">
        <f t="shared" si="32"/>
        <v>10000000</v>
      </c>
      <c r="AC55" s="24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4"/>
      <c r="AO55" s="24"/>
      <c r="AP55" s="24"/>
      <c r="AQ55" s="24">
        <v>10000000</v>
      </c>
      <c r="AR55" s="24"/>
      <c r="AS55" s="24"/>
      <c r="AT55" s="24"/>
      <c r="AU55" s="24"/>
      <c r="AV55" s="24"/>
      <c r="AW55" s="25">
        <f t="shared" si="3"/>
        <v>0</v>
      </c>
      <c r="AX55" s="24">
        <f t="shared" si="33"/>
        <v>0</v>
      </c>
      <c r="AY55" s="24">
        <f t="shared" si="45"/>
        <v>0</v>
      </c>
      <c r="AZ55" s="24">
        <f t="shared" si="45"/>
        <v>0</v>
      </c>
      <c r="BA55" s="24">
        <f t="shared" si="45"/>
        <v>0</v>
      </c>
      <c r="BB55" s="24">
        <f t="shared" ref="BB55:BF59" si="70">+K55-AG55</f>
        <v>0</v>
      </c>
      <c r="BC55" s="24">
        <f t="shared" si="70"/>
        <v>0</v>
      </c>
      <c r="BD55" s="24">
        <f t="shared" si="70"/>
        <v>0</v>
      </c>
      <c r="BE55" s="24">
        <f t="shared" si="70"/>
        <v>0</v>
      </c>
      <c r="BF55" s="24">
        <f t="shared" si="70"/>
        <v>0</v>
      </c>
      <c r="BG55" s="24">
        <f t="shared" si="62"/>
        <v>0</v>
      </c>
      <c r="BH55" s="24">
        <f t="shared" ref="BH55:BM59" si="71">+Q55-AM55</f>
        <v>0</v>
      </c>
      <c r="BI55" s="24">
        <f t="shared" si="71"/>
        <v>0</v>
      </c>
      <c r="BJ55" s="24">
        <f t="shared" si="71"/>
        <v>0</v>
      </c>
      <c r="BK55" s="24">
        <f t="shared" si="71"/>
        <v>0</v>
      </c>
      <c r="BL55" s="24">
        <f t="shared" si="71"/>
        <v>0</v>
      </c>
      <c r="BM55" s="24">
        <f t="shared" si="71"/>
        <v>0</v>
      </c>
      <c r="BN55" s="24"/>
      <c r="BO55" s="24"/>
      <c r="BP55" s="24">
        <f t="shared" si="56"/>
        <v>0</v>
      </c>
      <c r="BQ55" s="24">
        <f t="shared" si="57"/>
        <v>0</v>
      </c>
      <c r="BR55" s="25">
        <f t="shared" si="10"/>
        <v>0.9553836</v>
      </c>
      <c r="BS55" s="24">
        <f t="shared" si="36"/>
        <v>9553836</v>
      </c>
      <c r="BT55" s="24"/>
      <c r="BU55" s="24"/>
      <c r="BV55" s="24"/>
      <c r="BW55" s="24"/>
      <c r="BX55" s="24"/>
      <c r="BY55" s="24"/>
      <c r="BZ55" s="24"/>
      <c r="CA55" s="24"/>
      <c r="CB55" s="24"/>
      <c r="CC55" s="24"/>
      <c r="CD55" s="24"/>
      <c r="CE55" s="24"/>
      <c r="CF55" s="24"/>
      <c r="CG55" s="24"/>
      <c r="CH55" s="24">
        <f>+'[3]FEBRERO 2016'!$H$621</f>
        <v>9553836</v>
      </c>
      <c r="CI55" s="24"/>
      <c r="CJ55" s="24"/>
      <c r="CK55" s="24"/>
      <c r="CL55" s="24"/>
      <c r="CM55" s="24"/>
      <c r="CN55" s="25">
        <f t="shared" si="12"/>
        <v>4.4616400000000001E-2</v>
      </c>
      <c r="CO55" s="24">
        <f t="shared" si="37"/>
        <v>446164</v>
      </c>
      <c r="CP55" s="24">
        <f t="shared" si="48"/>
        <v>0</v>
      </c>
      <c r="CQ55" s="24">
        <f t="shared" si="48"/>
        <v>0</v>
      </c>
      <c r="CR55" s="24">
        <f t="shared" si="48"/>
        <v>0</v>
      </c>
      <c r="CS55" s="24">
        <f t="shared" si="48"/>
        <v>0</v>
      </c>
      <c r="CT55" s="24">
        <f t="shared" si="48"/>
        <v>0</v>
      </c>
      <c r="CU55" s="24">
        <f t="shared" si="48"/>
        <v>0</v>
      </c>
      <c r="CV55" s="24">
        <f t="shared" si="65"/>
        <v>0</v>
      </c>
      <c r="CW55" s="24">
        <f t="shared" si="65"/>
        <v>0</v>
      </c>
      <c r="CX55" s="24">
        <f t="shared" si="66"/>
        <v>0</v>
      </c>
      <c r="CY55" s="24">
        <f t="shared" si="64"/>
        <v>0</v>
      </c>
      <c r="CZ55" s="24">
        <f t="shared" si="64"/>
        <v>0</v>
      </c>
      <c r="DA55" s="24">
        <f t="shared" si="64"/>
        <v>0</v>
      </c>
      <c r="DB55" s="24">
        <f t="shared" si="67"/>
        <v>0</v>
      </c>
      <c r="DC55" s="24">
        <f t="shared" si="67"/>
        <v>446164</v>
      </c>
      <c r="DD55" s="24">
        <f t="shared" si="67"/>
        <v>0</v>
      </c>
      <c r="DE55" s="24"/>
      <c r="DF55" s="24">
        <f t="shared" si="68"/>
        <v>0</v>
      </c>
      <c r="DG55" s="24">
        <f t="shared" si="63"/>
        <v>0</v>
      </c>
      <c r="DH55" s="24">
        <f t="shared" si="69"/>
        <v>0</v>
      </c>
      <c r="DJ55" s="77"/>
      <c r="DK55" s="77"/>
      <c r="DL55" s="196">
        <f t="shared" si="43"/>
        <v>10000000</v>
      </c>
      <c r="DM55" s="197">
        <f t="shared" si="44"/>
        <v>9553836</v>
      </c>
      <c r="DN55" s="77"/>
    </row>
    <row r="56" spans="1:118" ht="48" hidden="1" customHeight="1" x14ac:dyDescent="0.25">
      <c r="A56" s="238"/>
      <c r="B56" s="232"/>
      <c r="C56" s="20" t="s">
        <v>174</v>
      </c>
      <c r="D56" s="21" t="s">
        <v>175</v>
      </c>
      <c r="E56" s="22">
        <v>410</v>
      </c>
      <c r="F56" s="23" t="s">
        <v>91</v>
      </c>
      <c r="G56" s="24">
        <f t="shared" si="31"/>
        <v>30000000</v>
      </c>
      <c r="H56" s="33"/>
      <c r="I56" s="24">
        <f>11831904</f>
        <v>11831904</v>
      </c>
      <c r="J56" s="24"/>
      <c r="K56" s="33"/>
      <c r="L56" s="33"/>
      <c r="M56" s="33"/>
      <c r="N56" s="33"/>
      <c r="O56" s="24"/>
      <c r="P56" s="24"/>
      <c r="Q56" s="24"/>
      <c r="R56" s="24"/>
      <c r="S56" s="24"/>
      <c r="T56" s="24"/>
      <c r="U56" s="24">
        <v>18168096</v>
      </c>
      <c r="V56" s="24"/>
      <c r="W56" s="24"/>
      <c r="X56" s="24"/>
      <c r="Y56" s="24"/>
      <c r="Z56" s="24"/>
      <c r="AA56" s="25">
        <f t="shared" si="1"/>
        <v>1</v>
      </c>
      <c r="AB56" s="24">
        <f t="shared" si="32"/>
        <v>30000000</v>
      </c>
      <c r="AC56" s="24"/>
      <c r="AD56" s="24"/>
      <c r="AE56" s="24">
        <f>+'[9]MARZO 2016 ULTIMO'!$M$817</f>
        <v>11831904</v>
      </c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  <c r="AQ56" s="24">
        <v>18168096</v>
      </c>
      <c r="AR56" s="24"/>
      <c r="AS56" s="24"/>
      <c r="AT56" s="24"/>
      <c r="AU56" s="24"/>
      <c r="AV56" s="24"/>
      <c r="AW56" s="25">
        <f t="shared" si="3"/>
        <v>0</v>
      </c>
      <c r="AX56" s="24">
        <f t="shared" si="33"/>
        <v>0</v>
      </c>
      <c r="AY56" s="24">
        <f t="shared" si="45"/>
        <v>0</v>
      </c>
      <c r="AZ56" s="24">
        <f t="shared" si="45"/>
        <v>0</v>
      </c>
      <c r="BA56" s="24">
        <f t="shared" si="45"/>
        <v>0</v>
      </c>
      <c r="BB56" s="24">
        <f t="shared" si="70"/>
        <v>0</v>
      </c>
      <c r="BC56" s="24">
        <f t="shared" si="70"/>
        <v>0</v>
      </c>
      <c r="BD56" s="24">
        <f t="shared" si="70"/>
        <v>0</v>
      </c>
      <c r="BE56" s="24">
        <f t="shared" si="70"/>
        <v>0</v>
      </c>
      <c r="BF56" s="24">
        <f t="shared" si="70"/>
        <v>0</v>
      </c>
      <c r="BG56" s="24">
        <f t="shared" si="62"/>
        <v>0</v>
      </c>
      <c r="BH56" s="24">
        <f t="shared" si="71"/>
        <v>0</v>
      </c>
      <c r="BI56" s="24">
        <f t="shared" si="71"/>
        <v>0</v>
      </c>
      <c r="BJ56" s="24">
        <f t="shared" si="71"/>
        <v>0</v>
      </c>
      <c r="BK56" s="24">
        <f t="shared" si="71"/>
        <v>0</v>
      </c>
      <c r="BL56" s="24">
        <f t="shared" si="71"/>
        <v>0</v>
      </c>
      <c r="BM56" s="24">
        <f t="shared" si="71"/>
        <v>0</v>
      </c>
      <c r="BN56" s="24"/>
      <c r="BO56" s="24"/>
      <c r="BP56" s="24">
        <f t="shared" si="56"/>
        <v>0</v>
      </c>
      <c r="BQ56" s="24">
        <f t="shared" si="57"/>
        <v>0</v>
      </c>
      <c r="BR56" s="25">
        <f t="shared" si="10"/>
        <v>0.99612520000000004</v>
      </c>
      <c r="BS56" s="24">
        <f t="shared" si="36"/>
        <v>29883756</v>
      </c>
      <c r="BT56" s="24"/>
      <c r="BU56" s="24"/>
      <c r="BV56" s="24">
        <f>+'[1]SEPTIEMBRE 2016'!$H$2481</f>
        <v>11715660</v>
      </c>
      <c r="BW56" s="24"/>
      <c r="BX56" s="24"/>
      <c r="BY56" s="24"/>
      <c r="BZ56" s="24"/>
      <c r="CA56" s="24"/>
      <c r="CB56" s="24"/>
      <c r="CC56" s="24"/>
      <c r="CD56" s="24"/>
      <c r="CE56" s="24"/>
      <c r="CF56" s="24"/>
      <c r="CG56" s="24"/>
      <c r="CH56" s="24">
        <f>+'[3]FEBRERO 2016'!$H$635</f>
        <v>18168096</v>
      </c>
      <c r="CI56" s="24"/>
      <c r="CJ56" s="24"/>
      <c r="CK56" s="24"/>
      <c r="CL56" s="24"/>
      <c r="CM56" s="24"/>
      <c r="CN56" s="25">
        <f t="shared" si="12"/>
        <v>3.8747999999999561E-3</v>
      </c>
      <c r="CO56" s="24">
        <f t="shared" si="37"/>
        <v>116244</v>
      </c>
      <c r="CP56" s="24">
        <f t="shared" si="48"/>
        <v>0</v>
      </c>
      <c r="CQ56" s="24">
        <f t="shared" si="48"/>
        <v>116244</v>
      </c>
      <c r="CR56" s="24">
        <f t="shared" si="48"/>
        <v>0</v>
      </c>
      <c r="CS56" s="24">
        <f t="shared" si="48"/>
        <v>0</v>
      </c>
      <c r="CT56" s="24">
        <f t="shared" si="48"/>
        <v>0</v>
      </c>
      <c r="CU56" s="24">
        <f t="shared" si="48"/>
        <v>0</v>
      </c>
      <c r="CV56" s="24">
        <f t="shared" si="65"/>
        <v>0</v>
      </c>
      <c r="CW56" s="24">
        <f t="shared" si="65"/>
        <v>0</v>
      </c>
      <c r="CX56" s="24">
        <f t="shared" si="66"/>
        <v>0</v>
      </c>
      <c r="CY56" s="24">
        <f t="shared" si="64"/>
        <v>0</v>
      </c>
      <c r="CZ56" s="24">
        <f t="shared" si="64"/>
        <v>0</v>
      </c>
      <c r="DA56" s="24">
        <f t="shared" si="64"/>
        <v>0</v>
      </c>
      <c r="DB56" s="24">
        <f t="shared" si="67"/>
        <v>0</v>
      </c>
      <c r="DC56" s="24">
        <f t="shared" si="67"/>
        <v>0</v>
      </c>
      <c r="DD56" s="24">
        <f t="shared" si="67"/>
        <v>0</v>
      </c>
      <c r="DE56" s="24"/>
      <c r="DF56" s="24">
        <f t="shared" si="68"/>
        <v>0</v>
      </c>
      <c r="DG56" s="24">
        <f t="shared" si="63"/>
        <v>0</v>
      </c>
      <c r="DH56" s="24">
        <f t="shared" si="69"/>
        <v>0</v>
      </c>
      <c r="DJ56" s="77"/>
      <c r="DK56" s="77"/>
      <c r="DL56" s="196">
        <f t="shared" si="43"/>
        <v>30000000</v>
      </c>
      <c r="DM56" s="197">
        <f t="shared" si="44"/>
        <v>29883756</v>
      </c>
      <c r="DN56" s="77"/>
    </row>
    <row r="57" spans="1:118" ht="30" hidden="1" customHeight="1" x14ac:dyDescent="0.25">
      <c r="A57" s="238"/>
      <c r="B57" s="232"/>
      <c r="C57" s="20" t="s">
        <v>176</v>
      </c>
      <c r="D57" s="21" t="s">
        <v>177</v>
      </c>
      <c r="E57" s="22">
        <v>410</v>
      </c>
      <c r="F57" s="23" t="s">
        <v>91</v>
      </c>
      <c r="G57" s="24">
        <f t="shared" si="31"/>
        <v>10000000</v>
      </c>
      <c r="H57" s="33"/>
      <c r="I57" s="33"/>
      <c r="J57" s="33"/>
      <c r="K57" s="33"/>
      <c r="L57" s="33"/>
      <c r="M57" s="33"/>
      <c r="N57" s="33"/>
      <c r="O57" s="24"/>
      <c r="P57" s="24"/>
      <c r="Q57" s="24"/>
      <c r="R57" s="24"/>
      <c r="S57" s="24"/>
      <c r="T57" s="24"/>
      <c r="U57" s="24">
        <v>10000000</v>
      </c>
      <c r="V57" s="24"/>
      <c r="W57" s="24"/>
      <c r="X57" s="24"/>
      <c r="Y57" s="24"/>
      <c r="Z57" s="24"/>
      <c r="AA57" s="25">
        <f t="shared" si="1"/>
        <v>1</v>
      </c>
      <c r="AB57" s="24">
        <f t="shared" si="32"/>
        <v>10000000</v>
      </c>
      <c r="AC57" s="24"/>
      <c r="AD57" s="24"/>
      <c r="AE57" s="24"/>
      <c r="AF57" s="24"/>
      <c r="AG57" s="24"/>
      <c r="AH57" s="24"/>
      <c r="AI57" s="24"/>
      <c r="AJ57" s="24"/>
      <c r="AK57" s="24"/>
      <c r="AL57" s="24"/>
      <c r="AM57" s="24"/>
      <c r="AN57" s="24"/>
      <c r="AO57" s="24"/>
      <c r="AP57" s="24"/>
      <c r="AQ57" s="24">
        <f>+'[2]ENERO 2016'!$Y$478</f>
        <v>10000000</v>
      </c>
      <c r="AR57" s="24"/>
      <c r="AS57" s="24"/>
      <c r="AT57" s="24"/>
      <c r="AU57" s="24"/>
      <c r="AV57" s="24"/>
      <c r="AW57" s="25">
        <f t="shared" si="3"/>
        <v>0</v>
      </c>
      <c r="AX57" s="24">
        <f t="shared" si="33"/>
        <v>0</v>
      </c>
      <c r="AY57" s="24">
        <f t="shared" si="45"/>
        <v>0</v>
      </c>
      <c r="AZ57" s="24">
        <f t="shared" si="45"/>
        <v>0</v>
      </c>
      <c r="BA57" s="24">
        <f t="shared" si="45"/>
        <v>0</v>
      </c>
      <c r="BB57" s="24">
        <f t="shared" si="70"/>
        <v>0</v>
      </c>
      <c r="BC57" s="24">
        <f t="shared" si="70"/>
        <v>0</v>
      </c>
      <c r="BD57" s="24">
        <f t="shared" si="70"/>
        <v>0</v>
      </c>
      <c r="BE57" s="24">
        <f t="shared" si="70"/>
        <v>0</v>
      </c>
      <c r="BF57" s="24">
        <f t="shared" si="70"/>
        <v>0</v>
      </c>
      <c r="BG57" s="24">
        <f t="shared" si="62"/>
        <v>0</v>
      </c>
      <c r="BH57" s="24">
        <f t="shared" si="71"/>
        <v>0</v>
      </c>
      <c r="BI57" s="24">
        <f t="shared" si="71"/>
        <v>0</v>
      </c>
      <c r="BJ57" s="24">
        <f t="shared" si="71"/>
        <v>0</v>
      </c>
      <c r="BK57" s="24">
        <f t="shared" si="71"/>
        <v>0</v>
      </c>
      <c r="BL57" s="24">
        <f t="shared" si="71"/>
        <v>0</v>
      </c>
      <c r="BM57" s="24">
        <f t="shared" si="71"/>
        <v>0</v>
      </c>
      <c r="BN57" s="24"/>
      <c r="BO57" s="24"/>
      <c r="BP57" s="24">
        <f t="shared" si="56"/>
        <v>0</v>
      </c>
      <c r="BQ57" s="24">
        <f t="shared" si="57"/>
        <v>0</v>
      </c>
      <c r="BR57" s="25">
        <f t="shared" si="10"/>
        <v>1</v>
      </c>
      <c r="BS57" s="24">
        <f t="shared" si="36"/>
        <v>10000000</v>
      </c>
      <c r="BT57" s="24"/>
      <c r="BU57" s="24"/>
      <c r="BV57" s="24"/>
      <c r="BW57" s="24"/>
      <c r="BX57" s="24"/>
      <c r="BY57" s="24"/>
      <c r="BZ57" s="24"/>
      <c r="CA57" s="24"/>
      <c r="CB57" s="24"/>
      <c r="CC57" s="24"/>
      <c r="CD57" s="24"/>
      <c r="CE57" s="24"/>
      <c r="CF57" s="24"/>
      <c r="CG57" s="24"/>
      <c r="CH57" s="24">
        <v>10000000</v>
      </c>
      <c r="CI57" s="24"/>
      <c r="CJ57" s="24"/>
      <c r="CK57" s="24"/>
      <c r="CL57" s="24"/>
      <c r="CM57" s="24"/>
      <c r="CN57" s="25">
        <f t="shared" si="12"/>
        <v>0</v>
      </c>
      <c r="CO57" s="24">
        <f t="shared" si="37"/>
        <v>0</v>
      </c>
      <c r="CP57" s="24">
        <f t="shared" si="48"/>
        <v>0</v>
      </c>
      <c r="CQ57" s="24">
        <f t="shared" si="48"/>
        <v>0</v>
      </c>
      <c r="CR57" s="24">
        <f t="shared" si="48"/>
        <v>0</v>
      </c>
      <c r="CS57" s="24">
        <f t="shared" si="48"/>
        <v>0</v>
      </c>
      <c r="CT57" s="24">
        <f t="shared" si="48"/>
        <v>0</v>
      </c>
      <c r="CU57" s="24">
        <f t="shared" si="48"/>
        <v>0</v>
      </c>
      <c r="CV57" s="24">
        <f t="shared" si="65"/>
        <v>0</v>
      </c>
      <c r="CW57" s="24">
        <f t="shared" si="65"/>
        <v>0</v>
      </c>
      <c r="CX57" s="24">
        <f t="shared" si="66"/>
        <v>0</v>
      </c>
      <c r="CY57" s="24">
        <f t="shared" si="64"/>
        <v>0</v>
      </c>
      <c r="CZ57" s="24">
        <f t="shared" si="64"/>
        <v>0</v>
      </c>
      <c r="DA57" s="24">
        <f t="shared" si="64"/>
        <v>0</v>
      </c>
      <c r="DB57" s="24">
        <f t="shared" si="67"/>
        <v>0</v>
      </c>
      <c r="DC57" s="24">
        <f t="shared" si="67"/>
        <v>0</v>
      </c>
      <c r="DD57" s="24">
        <f t="shared" si="67"/>
        <v>0</v>
      </c>
      <c r="DE57" s="24"/>
      <c r="DF57" s="24">
        <f t="shared" si="68"/>
        <v>0</v>
      </c>
      <c r="DG57" s="24">
        <f t="shared" si="63"/>
        <v>0</v>
      </c>
      <c r="DH57" s="24">
        <f t="shared" si="69"/>
        <v>0</v>
      </c>
      <c r="DJ57" s="77"/>
      <c r="DK57" s="77"/>
      <c r="DL57" s="196">
        <f t="shared" si="43"/>
        <v>10000000</v>
      </c>
      <c r="DM57" s="197">
        <f t="shared" si="44"/>
        <v>10000000</v>
      </c>
      <c r="DN57" s="77"/>
    </row>
    <row r="58" spans="1:118" ht="38.25" hidden="1" customHeight="1" x14ac:dyDescent="0.25">
      <c r="A58" s="238"/>
      <c r="B58" s="232"/>
      <c r="C58" s="20" t="s">
        <v>178</v>
      </c>
      <c r="D58" s="21" t="s">
        <v>179</v>
      </c>
      <c r="E58" s="22">
        <v>410</v>
      </c>
      <c r="F58" s="23" t="s">
        <v>91</v>
      </c>
      <c r="G58" s="24">
        <f t="shared" si="31"/>
        <v>226043428</v>
      </c>
      <c r="H58" s="33"/>
      <c r="I58" s="24">
        <v>131674838</v>
      </c>
      <c r="J58" s="33"/>
      <c r="K58" s="33"/>
      <c r="L58" s="33">
        <f>74368590</f>
        <v>74368590</v>
      </c>
      <c r="M58" s="33"/>
      <c r="N58" s="33"/>
      <c r="O58" s="24"/>
      <c r="P58" s="24"/>
      <c r="Q58" s="24"/>
      <c r="R58" s="24"/>
      <c r="S58" s="24"/>
      <c r="T58" s="24"/>
      <c r="U58" s="24">
        <v>20000000</v>
      </c>
      <c r="V58" s="24"/>
      <c r="W58" s="24"/>
      <c r="X58" s="24"/>
      <c r="Y58" s="24"/>
      <c r="Z58" s="24"/>
      <c r="AA58" s="25">
        <f t="shared" si="1"/>
        <v>0.36528307295003509</v>
      </c>
      <c r="AB58" s="24">
        <f t="shared" si="32"/>
        <v>82569838</v>
      </c>
      <c r="AC58" s="24"/>
      <c r="AD58" s="24"/>
      <c r="AE58" s="24">
        <f>+'[1]SEPTIEMBRE 2016'!$M$2558</f>
        <v>21330100</v>
      </c>
      <c r="AF58" s="24"/>
      <c r="AG58" s="24"/>
      <c r="AH58" s="24">
        <f>+'[4]AGOSTO 2016'!$P$2179</f>
        <v>43061377</v>
      </c>
      <c r="AI58" s="24"/>
      <c r="AJ58" s="24"/>
      <c r="AK58" s="24"/>
      <c r="AL58" s="24"/>
      <c r="AM58" s="24"/>
      <c r="AN58" s="24"/>
      <c r="AO58" s="24"/>
      <c r="AP58" s="24"/>
      <c r="AQ58" s="24">
        <f>+'[6]JUNIO 2016'!$Y$1439</f>
        <v>18178361</v>
      </c>
      <c r="AR58" s="24"/>
      <c r="AS58" s="24"/>
      <c r="AT58" s="24"/>
      <c r="AU58" s="24"/>
      <c r="AV58" s="24"/>
      <c r="AW58" s="25">
        <f t="shared" si="3"/>
        <v>0.63471692704996485</v>
      </c>
      <c r="AX58" s="24">
        <f t="shared" si="33"/>
        <v>143473590</v>
      </c>
      <c r="AY58" s="24">
        <f t="shared" si="45"/>
        <v>0</v>
      </c>
      <c r="AZ58" s="24">
        <f t="shared" si="45"/>
        <v>110344738</v>
      </c>
      <c r="BA58" s="24">
        <f t="shared" si="45"/>
        <v>0</v>
      </c>
      <c r="BB58" s="24">
        <f t="shared" si="70"/>
        <v>0</v>
      </c>
      <c r="BC58" s="24">
        <f t="shared" si="70"/>
        <v>31307213</v>
      </c>
      <c r="BD58" s="24">
        <f t="shared" si="70"/>
        <v>0</v>
      </c>
      <c r="BE58" s="24">
        <f t="shared" si="70"/>
        <v>0</v>
      </c>
      <c r="BF58" s="24">
        <f t="shared" si="70"/>
        <v>0</v>
      </c>
      <c r="BG58" s="24">
        <f t="shared" si="62"/>
        <v>0</v>
      </c>
      <c r="BH58" s="24">
        <f t="shared" si="71"/>
        <v>0</v>
      </c>
      <c r="BI58" s="24">
        <f t="shared" si="71"/>
        <v>0</v>
      </c>
      <c r="BJ58" s="24">
        <f t="shared" si="71"/>
        <v>0</v>
      </c>
      <c r="BK58" s="24">
        <f t="shared" si="71"/>
        <v>0</v>
      </c>
      <c r="BL58" s="24">
        <f t="shared" si="71"/>
        <v>1821639</v>
      </c>
      <c r="BM58" s="24">
        <f t="shared" si="71"/>
        <v>0</v>
      </c>
      <c r="BN58" s="24"/>
      <c r="BO58" s="24"/>
      <c r="BP58" s="24">
        <f t="shared" si="56"/>
        <v>0</v>
      </c>
      <c r="BQ58" s="24">
        <f t="shared" si="57"/>
        <v>0</v>
      </c>
      <c r="BR58" s="25">
        <f t="shared" si="10"/>
        <v>0.2553479988809938</v>
      </c>
      <c r="BS58" s="24">
        <f t="shared" si="36"/>
        <v>57719737</v>
      </c>
      <c r="BT58" s="24"/>
      <c r="BU58" s="24"/>
      <c r="BV58" s="24">
        <f>+'[1]SEPTIEMBRE 2016'!$H$2591</f>
        <v>872600</v>
      </c>
      <c r="BW58" s="24"/>
      <c r="BX58" s="24"/>
      <c r="BY58" s="24">
        <f>+'[1]SEPTIEMBRE 2016'!$H$2573+'[1]SEPTIEMBRE 2016'!$H$2578+'[1]SEPTIEMBRE 2016'!$H$2580+'[1]SEPTIEMBRE 2016'!$H$2588</f>
        <v>42967109</v>
      </c>
      <c r="BZ58" s="24"/>
      <c r="CA58" s="24"/>
      <c r="CB58" s="24"/>
      <c r="CC58" s="24"/>
      <c r="CD58" s="24"/>
      <c r="CE58" s="24"/>
      <c r="CF58" s="24"/>
      <c r="CG58" s="24"/>
      <c r="CH58" s="24">
        <f>+'[1]SEPTIEMBRE 2016'!$H$2556-BV58-BY58</f>
        <v>13880028</v>
      </c>
      <c r="CI58" s="24"/>
      <c r="CJ58" s="24"/>
      <c r="CK58" s="24"/>
      <c r="CL58" s="24"/>
      <c r="CM58" s="24"/>
      <c r="CN58" s="25">
        <f t="shared" si="12"/>
        <v>0.7446520011190062</v>
      </c>
      <c r="CO58" s="24">
        <f t="shared" si="37"/>
        <v>168323691</v>
      </c>
      <c r="CP58" s="24">
        <f t="shared" si="48"/>
        <v>0</v>
      </c>
      <c r="CQ58" s="24">
        <f t="shared" si="48"/>
        <v>130802238</v>
      </c>
      <c r="CR58" s="24">
        <f t="shared" si="48"/>
        <v>0</v>
      </c>
      <c r="CS58" s="24">
        <f t="shared" si="48"/>
        <v>0</v>
      </c>
      <c r="CT58" s="24">
        <f t="shared" si="48"/>
        <v>31401481</v>
      </c>
      <c r="CU58" s="24">
        <f t="shared" si="48"/>
        <v>0</v>
      </c>
      <c r="CV58" s="24">
        <f t="shared" si="65"/>
        <v>0</v>
      </c>
      <c r="CW58" s="24">
        <f t="shared" si="65"/>
        <v>0</v>
      </c>
      <c r="CX58" s="24">
        <f t="shared" si="66"/>
        <v>0</v>
      </c>
      <c r="CY58" s="24">
        <f t="shared" si="64"/>
        <v>0</v>
      </c>
      <c r="CZ58" s="24">
        <f t="shared" si="64"/>
        <v>0</v>
      </c>
      <c r="DA58" s="24">
        <f t="shared" si="64"/>
        <v>0</v>
      </c>
      <c r="DB58" s="24">
        <f t="shared" si="67"/>
        <v>0</v>
      </c>
      <c r="DC58" s="24">
        <f t="shared" si="67"/>
        <v>6119972</v>
      </c>
      <c r="DD58" s="24">
        <f t="shared" si="67"/>
        <v>0</v>
      </c>
      <c r="DE58" s="24"/>
      <c r="DF58" s="24">
        <f t="shared" si="68"/>
        <v>0</v>
      </c>
      <c r="DG58" s="24">
        <f t="shared" si="63"/>
        <v>0</v>
      </c>
      <c r="DH58" s="24">
        <f t="shared" si="69"/>
        <v>0</v>
      </c>
      <c r="DJ58" s="77" t="s">
        <v>406</v>
      </c>
      <c r="DK58" s="77"/>
      <c r="DL58" s="196">
        <f t="shared" si="43"/>
        <v>226043428</v>
      </c>
      <c r="DM58" s="197">
        <f t="shared" si="44"/>
        <v>57719737</v>
      </c>
      <c r="DN58" s="198">
        <f t="shared" ref="DN58:DN121" si="72">+BR58</f>
        <v>0.2553479988809938</v>
      </c>
    </row>
    <row r="59" spans="1:118" ht="45.75" hidden="1" customHeight="1" x14ac:dyDescent="0.25">
      <c r="A59" s="239"/>
      <c r="B59" s="233"/>
      <c r="C59" s="20" t="s">
        <v>180</v>
      </c>
      <c r="D59" s="21" t="s">
        <v>181</v>
      </c>
      <c r="E59" s="22">
        <v>410</v>
      </c>
      <c r="F59" s="23" t="s">
        <v>91</v>
      </c>
      <c r="G59" s="24">
        <f t="shared" si="31"/>
        <v>16000000</v>
      </c>
      <c r="H59" s="33"/>
      <c r="I59" s="33"/>
      <c r="J59" s="33"/>
      <c r="K59" s="33"/>
      <c r="L59" s="33"/>
      <c r="M59" s="33"/>
      <c r="N59" s="33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>
        <f>16000000</f>
        <v>16000000</v>
      </c>
      <c r="AA59" s="25">
        <f t="shared" si="1"/>
        <v>1</v>
      </c>
      <c r="AB59" s="24">
        <f t="shared" si="32"/>
        <v>16000000</v>
      </c>
      <c r="AC59" s="24"/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>
        <f>+'[9]MARZO 2016 ULTIMO'!$AF$846</f>
        <v>16000000</v>
      </c>
      <c r="AW59" s="25">
        <f t="shared" si="3"/>
        <v>0</v>
      </c>
      <c r="AX59" s="24">
        <f t="shared" si="33"/>
        <v>0</v>
      </c>
      <c r="AY59" s="24">
        <f t="shared" si="45"/>
        <v>0</v>
      </c>
      <c r="AZ59" s="24">
        <f t="shared" si="45"/>
        <v>0</v>
      </c>
      <c r="BA59" s="24">
        <f t="shared" si="45"/>
        <v>0</v>
      </c>
      <c r="BB59" s="24">
        <f t="shared" si="70"/>
        <v>0</v>
      </c>
      <c r="BC59" s="24">
        <f t="shared" si="70"/>
        <v>0</v>
      </c>
      <c r="BD59" s="24">
        <f t="shared" si="70"/>
        <v>0</v>
      </c>
      <c r="BE59" s="24">
        <f t="shared" si="70"/>
        <v>0</v>
      </c>
      <c r="BF59" s="24">
        <f t="shared" si="70"/>
        <v>0</v>
      </c>
      <c r="BG59" s="24">
        <f t="shared" si="62"/>
        <v>0</v>
      </c>
      <c r="BH59" s="24">
        <f t="shared" si="71"/>
        <v>0</v>
      </c>
      <c r="BI59" s="24">
        <f t="shared" si="71"/>
        <v>0</v>
      </c>
      <c r="BJ59" s="24">
        <f t="shared" si="71"/>
        <v>0</v>
      </c>
      <c r="BK59" s="24">
        <f t="shared" si="71"/>
        <v>0</v>
      </c>
      <c r="BL59" s="24">
        <f t="shared" si="71"/>
        <v>0</v>
      </c>
      <c r="BM59" s="24">
        <f t="shared" si="71"/>
        <v>0</v>
      </c>
      <c r="BN59" s="24"/>
      <c r="BO59" s="24"/>
      <c r="BP59" s="24">
        <f t="shared" si="56"/>
        <v>0</v>
      </c>
      <c r="BQ59" s="24">
        <f t="shared" si="57"/>
        <v>0</v>
      </c>
      <c r="BR59" s="25">
        <f t="shared" si="10"/>
        <v>1</v>
      </c>
      <c r="BS59" s="24">
        <f t="shared" si="36"/>
        <v>16000000</v>
      </c>
      <c r="BT59" s="24"/>
      <c r="BU59" s="24"/>
      <c r="BV59" s="24"/>
      <c r="BW59" s="24"/>
      <c r="BX59" s="24"/>
      <c r="BY59" s="24"/>
      <c r="BZ59" s="24"/>
      <c r="CA59" s="24"/>
      <c r="CB59" s="24"/>
      <c r="CC59" s="24"/>
      <c r="CD59" s="24"/>
      <c r="CE59" s="24"/>
      <c r="CF59" s="24"/>
      <c r="CG59" s="24"/>
      <c r="CH59" s="24"/>
      <c r="CI59" s="24"/>
      <c r="CJ59" s="24"/>
      <c r="CK59" s="24"/>
      <c r="CL59" s="24"/>
      <c r="CM59" s="24">
        <f>+'[5]JULIO 2016'!$H$1616</f>
        <v>16000000</v>
      </c>
      <c r="CN59" s="25">
        <f t="shared" si="12"/>
        <v>0</v>
      </c>
      <c r="CO59" s="24">
        <f t="shared" si="37"/>
        <v>0</v>
      </c>
      <c r="CP59" s="24">
        <f t="shared" si="48"/>
        <v>0</v>
      </c>
      <c r="CQ59" s="24">
        <f t="shared" si="48"/>
        <v>0</v>
      </c>
      <c r="CR59" s="24">
        <f t="shared" si="48"/>
        <v>0</v>
      </c>
      <c r="CS59" s="24">
        <f t="shared" si="48"/>
        <v>0</v>
      </c>
      <c r="CT59" s="24">
        <f t="shared" si="48"/>
        <v>0</v>
      </c>
      <c r="CU59" s="24">
        <f t="shared" si="48"/>
        <v>0</v>
      </c>
      <c r="CV59" s="24">
        <f t="shared" si="65"/>
        <v>0</v>
      </c>
      <c r="CW59" s="24">
        <f t="shared" si="65"/>
        <v>0</v>
      </c>
      <c r="CX59" s="24">
        <f t="shared" si="66"/>
        <v>0</v>
      </c>
      <c r="CY59" s="24">
        <f t="shared" si="64"/>
        <v>0</v>
      </c>
      <c r="CZ59" s="24">
        <f t="shared" si="64"/>
        <v>0</v>
      </c>
      <c r="DA59" s="24">
        <f t="shared" si="64"/>
        <v>0</v>
      </c>
      <c r="DB59" s="24">
        <f t="shared" si="67"/>
        <v>0</v>
      </c>
      <c r="DC59" s="24">
        <f t="shared" si="67"/>
        <v>0</v>
      </c>
      <c r="DD59" s="24">
        <f t="shared" si="67"/>
        <v>0</v>
      </c>
      <c r="DE59" s="24"/>
      <c r="DF59" s="24">
        <f t="shared" si="68"/>
        <v>0</v>
      </c>
      <c r="DG59" s="24">
        <f t="shared" si="63"/>
        <v>0</v>
      </c>
      <c r="DH59" s="24">
        <f t="shared" si="69"/>
        <v>0</v>
      </c>
      <c r="DJ59" s="77"/>
      <c r="DK59" s="77"/>
      <c r="DL59" s="196">
        <f t="shared" si="43"/>
        <v>16000000</v>
      </c>
      <c r="DM59" s="197">
        <f t="shared" si="44"/>
        <v>16000000</v>
      </c>
      <c r="DN59" s="198">
        <f t="shared" si="72"/>
        <v>1</v>
      </c>
    </row>
    <row r="60" spans="1:118" s="43" customFormat="1" ht="18" customHeight="1" thickTop="1" thickBot="1" x14ac:dyDescent="0.3">
      <c r="A60" s="59"/>
      <c r="B60" s="294" t="s">
        <v>389</v>
      </c>
      <c r="C60" s="295"/>
      <c r="D60" s="295"/>
      <c r="E60" s="296"/>
      <c r="F60" s="60"/>
      <c r="G60" s="61">
        <f t="shared" ref="G60:Z60" si="73">SUM(G21:G59)</f>
        <v>5991897445</v>
      </c>
      <c r="H60" s="61">
        <f t="shared" si="73"/>
        <v>0</v>
      </c>
      <c r="I60" s="61">
        <f t="shared" si="73"/>
        <v>2263096695</v>
      </c>
      <c r="J60" s="61">
        <f t="shared" si="73"/>
        <v>0</v>
      </c>
      <c r="K60" s="61">
        <f t="shared" si="73"/>
        <v>0</v>
      </c>
      <c r="L60" s="61">
        <f t="shared" si="73"/>
        <v>74368590</v>
      </c>
      <c r="M60" s="61">
        <f t="shared" si="73"/>
        <v>0</v>
      </c>
      <c r="N60" s="61">
        <f t="shared" si="73"/>
        <v>0</v>
      </c>
      <c r="O60" s="61">
        <f t="shared" si="73"/>
        <v>0</v>
      </c>
      <c r="P60" s="61">
        <f t="shared" si="73"/>
        <v>0</v>
      </c>
      <c r="Q60" s="61">
        <f t="shared" si="73"/>
        <v>0</v>
      </c>
      <c r="R60" s="61">
        <f t="shared" si="73"/>
        <v>1845604065</v>
      </c>
      <c r="S60" s="61">
        <f t="shared" si="73"/>
        <v>387696735</v>
      </c>
      <c r="T60" s="61">
        <f t="shared" si="73"/>
        <v>0</v>
      </c>
      <c r="U60" s="61">
        <f t="shared" si="73"/>
        <v>1054833768</v>
      </c>
      <c r="V60" s="61">
        <f t="shared" si="73"/>
        <v>0</v>
      </c>
      <c r="W60" s="61">
        <f t="shared" si="73"/>
        <v>51295383</v>
      </c>
      <c r="X60" s="61">
        <f t="shared" si="73"/>
        <v>0</v>
      </c>
      <c r="Y60" s="61">
        <f t="shared" si="73"/>
        <v>204741836</v>
      </c>
      <c r="Z60" s="61">
        <f t="shared" si="73"/>
        <v>110260373</v>
      </c>
      <c r="AA60" s="41">
        <f t="shared" si="1"/>
        <v>0.86657327159911024</v>
      </c>
      <c r="AB60" s="61">
        <f>SUM(AB21:AB59)</f>
        <v>5192418172</v>
      </c>
      <c r="AC60" s="61"/>
      <c r="AD60" s="61">
        <f t="shared" ref="AD60:AV60" si="74">SUM(AD21:AD59)</f>
        <v>0</v>
      </c>
      <c r="AE60" s="61">
        <f t="shared" si="74"/>
        <v>1885268117</v>
      </c>
      <c r="AF60" s="61">
        <f t="shared" si="74"/>
        <v>0</v>
      </c>
      <c r="AG60" s="61">
        <f t="shared" si="74"/>
        <v>0</v>
      </c>
      <c r="AH60" s="61">
        <f t="shared" si="74"/>
        <v>43061377</v>
      </c>
      <c r="AI60" s="61">
        <f t="shared" si="74"/>
        <v>0</v>
      </c>
      <c r="AJ60" s="61">
        <f t="shared" si="74"/>
        <v>0</v>
      </c>
      <c r="AK60" s="61">
        <f t="shared" si="74"/>
        <v>0</v>
      </c>
      <c r="AL60" s="61">
        <f t="shared" si="74"/>
        <v>0</v>
      </c>
      <c r="AM60" s="61">
        <f t="shared" si="74"/>
        <v>0</v>
      </c>
      <c r="AN60" s="61">
        <f t="shared" si="74"/>
        <v>1787879677</v>
      </c>
      <c r="AO60" s="61">
        <f t="shared" si="74"/>
        <v>319704306</v>
      </c>
      <c r="AP60" s="61">
        <f t="shared" si="74"/>
        <v>0</v>
      </c>
      <c r="AQ60" s="61">
        <f t="shared" si="74"/>
        <v>910591170</v>
      </c>
      <c r="AR60" s="61">
        <f t="shared" si="74"/>
        <v>0</v>
      </c>
      <c r="AS60" s="61">
        <f t="shared" si="74"/>
        <v>51295383</v>
      </c>
      <c r="AT60" s="61">
        <f t="shared" si="74"/>
        <v>0</v>
      </c>
      <c r="AU60" s="61">
        <f t="shared" si="74"/>
        <v>114321836</v>
      </c>
      <c r="AV60" s="61">
        <f t="shared" si="74"/>
        <v>80296306</v>
      </c>
      <c r="AW60" s="41">
        <f t="shared" si="3"/>
        <v>0.13342672840088976</v>
      </c>
      <c r="AX60" s="61">
        <f t="shared" ref="AX60:BQ60" si="75">SUM(AX21:AX59)</f>
        <v>799479273</v>
      </c>
      <c r="AY60" s="61">
        <f t="shared" si="75"/>
        <v>0</v>
      </c>
      <c r="AZ60" s="61">
        <f t="shared" si="75"/>
        <v>377828578</v>
      </c>
      <c r="BA60" s="61">
        <f t="shared" si="75"/>
        <v>0</v>
      </c>
      <c r="BB60" s="61">
        <f t="shared" si="75"/>
        <v>0</v>
      </c>
      <c r="BC60" s="61">
        <f t="shared" si="75"/>
        <v>31307213</v>
      </c>
      <c r="BD60" s="61">
        <f t="shared" si="75"/>
        <v>0</v>
      </c>
      <c r="BE60" s="61">
        <f t="shared" si="75"/>
        <v>0</v>
      </c>
      <c r="BF60" s="61">
        <f t="shared" si="75"/>
        <v>0</v>
      </c>
      <c r="BG60" s="61">
        <f t="shared" si="75"/>
        <v>0</v>
      </c>
      <c r="BH60" s="61">
        <f t="shared" si="75"/>
        <v>0</v>
      </c>
      <c r="BI60" s="61">
        <f t="shared" si="75"/>
        <v>57724388</v>
      </c>
      <c r="BJ60" s="61">
        <f t="shared" si="75"/>
        <v>67992429</v>
      </c>
      <c r="BK60" s="61">
        <f t="shared" si="75"/>
        <v>0</v>
      </c>
      <c r="BL60" s="61">
        <f t="shared" si="75"/>
        <v>144242598</v>
      </c>
      <c r="BM60" s="61">
        <f t="shared" si="75"/>
        <v>0</v>
      </c>
      <c r="BN60" s="61">
        <f t="shared" si="75"/>
        <v>0</v>
      </c>
      <c r="BO60" s="61">
        <f t="shared" si="75"/>
        <v>0</v>
      </c>
      <c r="BP60" s="61">
        <f t="shared" si="75"/>
        <v>90420000</v>
      </c>
      <c r="BQ60" s="61">
        <f t="shared" si="75"/>
        <v>29964067</v>
      </c>
      <c r="BR60" s="41">
        <f t="shared" si="10"/>
        <v>0.63125973662254498</v>
      </c>
      <c r="BS60" s="61">
        <f t="shared" ref="BS60:DH60" si="76">SUM(BS21:BS59)</f>
        <v>3782443603</v>
      </c>
      <c r="BT60" s="61">
        <f t="shared" si="76"/>
        <v>0</v>
      </c>
      <c r="BU60" s="61">
        <f t="shared" si="76"/>
        <v>0</v>
      </c>
      <c r="BV60" s="61">
        <f t="shared" si="76"/>
        <v>1276175353</v>
      </c>
      <c r="BW60" s="61">
        <f t="shared" si="76"/>
        <v>0</v>
      </c>
      <c r="BX60" s="61">
        <f t="shared" si="76"/>
        <v>0</v>
      </c>
      <c r="BY60" s="61">
        <f t="shared" si="76"/>
        <v>42967109</v>
      </c>
      <c r="BZ60" s="61">
        <f t="shared" si="76"/>
        <v>0</v>
      </c>
      <c r="CA60" s="61">
        <f t="shared" si="76"/>
        <v>0</v>
      </c>
      <c r="CB60" s="61">
        <f t="shared" si="76"/>
        <v>0</v>
      </c>
      <c r="CC60" s="61">
        <f t="shared" si="76"/>
        <v>0</v>
      </c>
      <c r="CD60" s="61">
        <f t="shared" si="76"/>
        <v>0</v>
      </c>
      <c r="CE60" s="61">
        <f t="shared" si="76"/>
        <v>1202759755</v>
      </c>
      <c r="CF60" s="61">
        <f t="shared" si="76"/>
        <v>305174306</v>
      </c>
      <c r="CG60" s="61">
        <f t="shared" si="76"/>
        <v>0</v>
      </c>
      <c r="CH60" s="61">
        <f t="shared" si="76"/>
        <v>845852866</v>
      </c>
      <c r="CI60" s="61">
        <f t="shared" si="76"/>
        <v>0</v>
      </c>
      <c r="CJ60" s="61">
        <f t="shared" si="76"/>
        <v>5867630</v>
      </c>
      <c r="CK60" s="61">
        <f t="shared" si="76"/>
        <v>0</v>
      </c>
      <c r="CL60" s="61">
        <f t="shared" si="76"/>
        <v>23350298</v>
      </c>
      <c r="CM60" s="61">
        <f t="shared" si="76"/>
        <v>80296286</v>
      </c>
      <c r="CN60" s="39">
        <f t="shared" ref="CN60:CN93" si="77">1-BR60</f>
        <v>0.36874026337745502</v>
      </c>
      <c r="CO60" s="61">
        <f t="shared" si="76"/>
        <v>2209453842</v>
      </c>
      <c r="CP60" s="61">
        <f t="shared" si="76"/>
        <v>0</v>
      </c>
      <c r="CQ60" s="61">
        <f t="shared" si="76"/>
        <v>986921342</v>
      </c>
      <c r="CR60" s="61">
        <f t="shared" si="76"/>
        <v>0</v>
      </c>
      <c r="CS60" s="61">
        <f t="shared" si="76"/>
        <v>0</v>
      </c>
      <c r="CT60" s="61">
        <f t="shared" si="76"/>
        <v>31401481</v>
      </c>
      <c r="CU60" s="61">
        <f t="shared" si="76"/>
        <v>0</v>
      </c>
      <c r="CV60" s="61">
        <f t="shared" si="76"/>
        <v>0</v>
      </c>
      <c r="CW60" s="61">
        <f t="shared" si="76"/>
        <v>0</v>
      </c>
      <c r="CX60" s="61">
        <f t="shared" si="76"/>
        <v>0</v>
      </c>
      <c r="CY60" s="61">
        <f t="shared" si="76"/>
        <v>0</v>
      </c>
      <c r="CZ60" s="61">
        <f t="shared" si="76"/>
        <v>642844310</v>
      </c>
      <c r="DA60" s="61">
        <f t="shared" si="76"/>
        <v>82522429</v>
      </c>
      <c r="DB60" s="61">
        <f t="shared" si="76"/>
        <v>0</v>
      </c>
      <c r="DC60" s="61">
        <f t="shared" si="76"/>
        <v>208980902</v>
      </c>
      <c r="DD60" s="61">
        <f t="shared" si="76"/>
        <v>0</v>
      </c>
      <c r="DE60" s="61">
        <f t="shared" si="76"/>
        <v>45427753</v>
      </c>
      <c r="DF60" s="61">
        <f t="shared" si="76"/>
        <v>0</v>
      </c>
      <c r="DG60" s="61">
        <f t="shared" si="76"/>
        <v>181391538</v>
      </c>
      <c r="DH60" s="62">
        <f t="shared" si="76"/>
        <v>29964087</v>
      </c>
      <c r="DJ60" s="77" t="s">
        <v>406</v>
      </c>
      <c r="DK60" s="77"/>
      <c r="DL60" s="196">
        <f t="shared" si="43"/>
        <v>5991897445</v>
      </c>
      <c r="DM60" s="197">
        <f t="shared" si="44"/>
        <v>3782443603</v>
      </c>
      <c r="DN60" s="198">
        <f t="shared" si="72"/>
        <v>0.63125973662254498</v>
      </c>
    </row>
    <row r="61" spans="1:118" ht="55.5" hidden="1" customHeight="1" thickTop="1" x14ac:dyDescent="0.25">
      <c r="A61" s="228" t="s">
        <v>183</v>
      </c>
      <c r="B61" s="231" t="s">
        <v>184</v>
      </c>
      <c r="C61" s="20" t="s">
        <v>185</v>
      </c>
      <c r="D61" s="21" t="s">
        <v>186</v>
      </c>
      <c r="E61" s="22">
        <v>520</v>
      </c>
      <c r="F61" s="23" t="s">
        <v>187</v>
      </c>
      <c r="G61" s="24">
        <f t="shared" ref="G61:G92" si="78">SUM(H61:Z61)</f>
        <v>117258276</v>
      </c>
      <c r="H61" s="24"/>
      <c r="I61" s="24"/>
      <c r="J61" s="24"/>
      <c r="K61" s="24"/>
      <c r="L61" s="24">
        <f>50000000</f>
        <v>50000000</v>
      </c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>
        <f>50000000+8000000+1184357+4073919+4000000</f>
        <v>67258276</v>
      </c>
      <c r="AA61" s="25">
        <f t="shared" si="1"/>
        <v>0.89638145455933538</v>
      </c>
      <c r="AB61" s="24">
        <f>SUM(AC61:AV61)</f>
        <v>105108144</v>
      </c>
      <c r="AC61" s="24"/>
      <c r="AD61" s="24"/>
      <c r="AE61" s="24"/>
      <c r="AF61" s="24"/>
      <c r="AG61" s="24"/>
      <c r="AH61" s="24">
        <f>+'[1]SEPTIEMBRE 2016'!$P$2964</f>
        <v>49797725</v>
      </c>
      <c r="AI61" s="24"/>
      <c r="AJ61" s="24"/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>
        <f>+'[1]SEPTIEMBRE 2016'!$AG$2964</f>
        <v>55310419</v>
      </c>
      <c r="AW61" s="25">
        <f t="shared" si="3"/>
        <v>0.10361854544066462</v>
      </c>
      <c r="AX61" s="24">
        <f t="shared" ref="AX61:AX92" si="79">SUM(AY61:BQ61)</f>
        <v>12150132</v>
      </c>
      <c r="AY61" s="24">
        <f t="shared" ref="AY61:BM92" si="80">H61-AD61</f>
        <v>0</v>
      </c>
      <c r="AZ61" s="24">
        <f t="shared" si="80"/>
        <v>0</v>
      </c>
      <c r="BA61" s="24">
        <f t="shared" si="80"/>
        <v>0</v>
      </c>
      <c r="BB61" s="24">
        <f t="shared" ref="BB61:BM70" si="81">+K61-AG61</f>
        <v>0</v>
      </c>
      <c r="BC61" s="24">
        <f t="shared" si="81"/>
        <v>202275</v>
      </c>
      <c r="BD61" s="24">
        <f t="shared" si="81"/>
        <v>0</v>
      </c>
      <c r="BE61" s="24">
        <f t="shared" si="81"/>
        <v>0</v>
      </c>
      <c r="BF61" s="24">
        <f t="shared" si="81"/>
        <v>0</v>
      </c>
      <c r="BG61" s="24">
        <f t="shared" si="81"/>
        <v>0</v>
      </c>
      <c r="BH61" s="24">
        <f t="shared" si="81"/>
        <v>0</v>
      </c>
      <c r="BI61" s="24">
        <f t="shared" si="81"/>
        <v>0</v>
      </c>
      <c r="BJ61" s="24">
        <f t="shared" si="81"/>
        <v>0</v>
      </c>
      <c r="BK61" s="24">
        <f t="shared" si="81"/>
        <v>0</v>
      </c>
      <c r="BL61" s="24">
        <f t="shared" si="81"/>
        <v>0</v>
      </c>
      <c r="BM61" s="24">
        <f t="shared" si="81"/>
        <v>0</v>
      </c>
      <c r="BN61" s="24"/>
      <c r="BO61" s="24"/>
      <c r="BP61" s="24">
        <f t="shared" ref="BP61:BP92" si="82">Y61-AU61</f>
        <v>0</v>
      </c>
      <c r="BQ61" s="24">
        <f t="shared" ref="BQ61:BQ70" si="83">+Z61-AV61</f>
        <v>11947857</v>
      </c>
      <c r="BR61" s="25">
        <f t="shared" si="10"/>
        <v>0.89638145455933538</v>
      </c>
      <c r="BS61" s="24">
        <f t="shared" ref="BS61:BS92" si="84">SUM(BT61:CM61)</f>
        <v>105108144</v>
      </c>
      <c r="BT61" s="24"/>
      <c r="BU61" s="24"/>
      <c r="BV61" s="24"/>
      <c r="BW61" s="24"/>
      <c r="BX61" s="24"/>
      <c r="BY61" s="24">
        <f>+'[1]SEPTIEMBRE 2016'!$P$2964</f>
        <v>49797725</v>
      </c>
      <c r="BZ61" s="24"/>
      <c r="CA61" s="24"/>
      <c r="CB61" s="24"/>
      <c r="CC61" s="24"/>
      <c r="CD61" s="24"/>
      <c r="CE61" s="24"/>
      <c r="CF61" s="24"/>
      <c r="CG61" s="24"/>
      <c r="CH61" s="24"/>
      <c r="CI61" s="24"/>
      <c r="CJ61" s="24"/>
      <c r="CK61" s="24"/>
      <c r="CL61" s="24"/>
      <c r="CM61" s="24">
        <f>+'[1]SEPTIEMBRE 2016'!$AG$2964</f>
        <v>55310419</v>
      </c>
      <c r="CN61" s="25">
        <f t="shared" si="77"/>
        <v>0.10361854544066462</v>
      </c>
      <c r="CO61" s="24">
        <f t="shared" ref="CO61:CO92" si="85">SUM(CP61:DH61)</f>
        <v>12150132</v>
      </c>
      <c r="CP61" s="24">
        <f t="shared" ref="CP61:CX76" si="86">H61-BU61</f>
        <v>0</v>
      </c>
      <c r="CQ61" s="24">
        <f t="shared" si="86"/>
        <v>0</v>
      </c>
      <c r="CR61" s="24">
        <f t="shared" si="86"/>
        <v>0</v>
      </c>
      <c r="CS61" s="24">
        <f t="shared" si="86"/>
        <v>0</v>
      </c>
      <c r="CT61" s="24">
        <f t="shared" si="86"/>
        <v>202275</v>
      </c>
      <c r="CU61" s="24">
        <f t="shared" si="86"/>
        <v>0</v>
      </c>
      <c r="CV61" s="24">
        <f t="shared" ref="CV61:CX70" si="87">+N61-CA61</f>
        <v>0</v>
      </c>
      <c r="CW61" s="24">
        <f t="shared" si="87"/>
        <v>0</v>
      </c>
      <c r="CX61" s="24">
        <f t="shared" si="87"/>
        <v>0</v>
      </c>
      <c r="CY61" s="24">
        <f t="shared" ref="CY61:DD91" si="88">Q61-CD61</f>
        <v>0</v>
      </c>
      <c r="CZ61" s="24">
        <f t="shared" si="88"/>
        <v>0</v>
      </c>
      <c r="DA61" s="24">
        <f t="shared" si="88"/>
        <v>0</v>
      </c>
      <c r="DB61" s="24">
        <f t="shared" ref="DB61:DD70" si="89">+T61-CG61</f>
        <v>0</v>
      </c>
      <c r="DC61" s="24">
        <f t="shared" si="89"/>
        <v>0</v>
      </c>
      <c r="DD61" s="24">
        <f t="shared" si="89"/>
        <v>0</v>
      </c>
      <c r="DE61" s="24"/>
      <c r="DF61" s="24">
        <f t="shared" ref="DF61:DH70" si="90">+X61-CK61</f>
        <v>0</v>
      </c>
      <c r="DG61" s="54">
        <f t="shared" si="90"/>
        <v>0</v>
      </c>
      <c r="DH61" s="24">
        <f t="shared" si="90"/>
        <v>11947857</v>
      </c>
      <c r="DJ61" s="77"/>
      <c r="DK61" s="77"/>
      <c r="DL61" s="196">
        <f t="shared" si="43"/>
        <v>117258276</v>
      </c>
      <c r="DM61" s="197">
        <f t="shared" si="44"/>
        <v>105108144</v>
      </c>
      <c r="DN61" s="198">
        <f t="shared" si="72"/>
        <v>0.89638145455933538</v>
      </c>
    </row>
    <row r="62" spans="1:118" ht="35.25" hidden="1" customHeight="1" x14ac:dyDescent="0.25">
      <c r="A62" s="229"/>
      <c r="B62" s="232"/>
      <c r="C62" s="20" t="s">
        <v>188</v>
      </c>
      <c r="D62" s="21" t="s">
        <v>189</v>
      </c>
      <c r="E62" s="22">
        <v>520</v>
      </c>
      <c r="F62" s="23" t="s">
        <v>190</v>
      </c>
      <c r="G62" s="24">
        <f t="shared" si="78"/>
        <v>8000000</v>
      </c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>
        <f>2000000+2000000+4000000</f>
        <v>8000000</v>
      </c>
      <c r="AA62" s="25">
        <f t="shared" si="1"/>
        <v>0.19493750000000001</v>
      </c>
      <c r="AB62" s="24">
        <f t="shared" ref="AB62:AB92" si="91">SUM(AC62:AV62)</f>
        <v>1559500</v>
      </c>
      <c r="AC62" s="24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>
        <f>+'[1]SEPTIEMBRE 2016'!$G$3040</f>
        <v>1559500</v>
      </c>
      <c r="AW62" s="25">
        <f t="shared" si="3"/>
        <v>0.80506250000000001</v>
      </c>
      <c r="AX62" s="24">
        <f t="shared" si="79"/>
        <v>6440500</v>
      </c>
      <c r="AY62" s="24">
        <f t="shared" si="80"/>
        <v>0</v>
      </c>
      <c r="AZ62" s="24">
        <f t="shared" si="80"/>
        <v>0</v>
      </c>
      <c r="BA62" s="24">
        <f t="shared" si="80"/>
        <v>0</v>
      </c>
      <c r="BB62" s="24">
        <f t="shared" si="81"/>
        <v>0</v>
      </c>
      <c r="BC62" s="24">
        <f t="shared" si="81"/>
        <v>0</v>
      </c>
      <c r="BD62" s="24">
        <f t="shared" si="81"/>
        <v>0</v>
      </c>
      <c r="BE62" s="24">
        <f t="shared" si="81"/>
        <v>0</v>
      </c>
      <c r="BF62" s="24">
        <f t="shared" si="81"/>
        <v>0</v>
      </c>
      <c r="BG62" s="24">
        <f t="shared" si="81"/>
        <v>0</v>
      </c>
      <c r="BH62" s="24">
        <f t="shared" si="81"/>
        <v>0</v>
      </c>
      <c r="BI62" s="24">
        <f t="shared" si="81"/>
        <v>0</v>
      </c>
      <c r="BJ62" s="24">
        <f t="shared" si="81"/>
        <v>0</v>
      </c>
      <c r="BK62" s="24">
        <f t="shared" si="81"/>
        <v>0</v>
      </c>
      <c r="BL62" s="24">
        <f t="shared" si="81"/>
        <v>0</v>
      </c>
      <c r="BM62" s="24">
        <f t="shared" si="81"/>
        <v>0</v>
      </c>
      <c r="BN62" s="24"/>
      <c r="BO62" s="24"/>
      <c r="BP62" s="24">
        <f t="shared" si="82"/>
        <v>0</v>
      </c>
      <c r="BQ62" s="24">
        <f t="shared" si="83"/>
        <v>6440500</v>
      </c>
      <c r="BR62" s="25">
        <f t="shared" si="10"/>
        <v>0.19493750000000001</v>
      </c>
      <c r="BS62" s="24">
        <f t="shared" si="84"/>
        <v>1559500</v>
      </c>
      <c r="BT62" s="24"/>
      <c r="BU62" s="24"/>
      <c r="BV62" s="24"/>
      <c r="BW62" s="24"/>
      <c r="BX62" s="24"/>
      <c r="BY62" s="24"/>
      <c r="BZ62" s="24"/>
      <c r="CA62" s="24"/>
      <c r="CB62" s="24"/>
      <c r="CC62" s="24"/>
      <c r="CD62" s="24"/>
      <c r="CE62" s="24"/>
      <c r="CF62" s="24"/>
      <c r="CG62" s="24"/>
      <c r="CH62" s="24"/>
      <c r="CI62" s="24"/>
      <c r="CJ62" s="24"/>
      <c r="CK62" s="24"/>
      <c r="CL62" s="24"/>
      <c r="CM62" s="24">
        <f>+'[1]SEPTIEMBRE 2016'!$H$3040</f>
        <v>1559500</v>
      </c>
      <c r="CN62" s="25">
        <f t="shared" si="77"/>
        <v>0.80506250000000001</v>
      </c>
      <c r="CO62" s="24">
        <f t="shared" si="85"/>
        <v>6440500</v>
      </c>
      <c r="CP62" s="24">
        <f t="shared" si="86"/>
        <v>0</v>
      </c>
      <c r="CQ62" s="24">
        <f t="shared" si="86"/>
        <v>0</v>
      </c>
      <c r="CR62" s="24">
        <f t="shared" si="86"/>
        <v>0</v>
      </c>
      <c r="CS62" s="24">
        <f t="shared" si="86"/>
        <v>0</v>
      </c>
      <c r="CT62" s="24">
        <f t="shared" si="86"/>
        <v>0</v>
      </c>
      <c r="CU62" s="24">
        <f t="shared" si="86"/>
        <v>0</v>
      </c>
      <c r="CV62" s="24">
        <f t="shared" si="87"/>
        <v>0</v>
      </c>
      <c r="CW62" s="24">
        <f t="shared" si="87"/>
        <v>0</v>
      </c>
      <c r="CX62" s="24">
        <f t="shared" si="87"/>
        <v>0</v>
      </c>
      <c r="CY62" s="24">
        <f t="shared" si="88"/>
        <v>0</v>
      </c>
      <c r="CZ62" s="24">
        <f t="shared" si="88"/>
        <v>0</v>
      </c>
      <c r="DA62" s="24">
        <f t="shared" si="88"/>
        <v>0</v>
      </c>
      <c r="DB62" s="24">
        <f t="shared" si="89"/>
        <v>0</v>
      </c>
      <c r="DC62" s="24">
        <f t="shared" si="89"/>
        <v>0</v>
      </c>
      <c r="DD62" s="24">
        <f t="shared" si="89"/>
        <v>0</v>
      </c>
      <c r="DE62" s="24"/>
      <c r="DF62" s="24">
        <f t="shared" si="90"/>
        <v>0</v>
      </c>
      <c r="DG62" s="54">
        <f t="shared" si="90"/>
        <v>0</v>
      </c>
      <c r="DH62" s="24">
        <f t="shared" si="90"/>
        <v>6440500</v>
      </c>
      <c r="DJ62" s="77"/>
      <c r="DK62" s="77"/>
      <c r="DL62" s="196">
        <f t="shared" si="43"/>
        <v>8000000</v>
      </c>
      <c r="DM62" s="197">
        <f t="shared" si="44"/>
        <v>1559500</v>
      </c>
      <c r="DN62" s="198">
        <f t="shared" si="72"/>
        <v>0.19493750000000001</v>
      </c>
    </row>
    <row r="63" spans="1:118" ht="36.75" hidden="1" customHeight="1" x14ac:dyDescent="0.25">
      <c r="A63" s="229"/>
      <c r="B63" s="233"/>
      <c r="C63" s="20" t="s">
        <v>191</v>
      </c>
      <c r="D63" s="21" t="s">
        <v>192</v>
      </c>
      <c r="E63" s="22">
        <v>520</v>
      </c>
      <c r="F63" s="23" t="s">
        <v>76</v>
      </c>
      <c r="G63" s="24">
        <f t="shared" si="78"/>
        <v>3000000</v>
      </c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>
        <v>3000000</v>
      </c>
      <c r="AA63" s="25">
        <f t="shared" si="1"/>
        <v>1</v>
      </c>
      <c r="AB63" s="24">
        <f t="shared" si="91"/>
        <v>3000000</v>
      </c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>
        <f>+'[6]JUNIO 2016'!$G$1784</f>
        <v>3000000</v>
      </c>
      <c r="AW63" s="25">
        <f t="shared" si="3"/>
        <v>0</v>
      </c>
      <c r="AX63" s="24">
        <f t="shared" si="79"/>
        <v>0</v>
      </c>
      <c r="AY63" s="24">
        <f t="shared" si="80"/>
        <v>0</v>
      </c>
      <c r="AZ63" s="24">
        <f t="shared" si="80"/>
        <v>0</v>
      </c>
      <c r="BA63" s="24">
        <f t="shared" si="80"/>
        <v>0</v>
      </c>
      <c r="BB63" s="24">
        <f t="shared" si="81"/>
        <v>0</v>
      </c>
      <c r="BC63" s="24">
        <f t="shared" si="81"/>
        <v>0</v>
      </c>
      <c r="BD63" s="24">
        <f t="shared" si="81"/>
        <v>0</v>
      </c>
      <c r="BE63" s="24">
        <f t="shared" si="81"/>
        <v>0</v>
      </c>
      <c r="BF63" s="24">
        <f t="shared" si="81"/>
        <v>0</v>
      </c>
      <c r="BG63" s="24">
        <f t="shared" si="81"/>
        <v>0</v>
      </c>
      <c r="BH63" s="24">
        <f t="shared" si="81"/>
        <v>0</v>
      </c>
      <c r="BI63" s="24">
        <f t="shared" si="81"/>
        <v>0</v>
      </c>
      <c r="BJ63" s="24">
        <f t="shared" si="81"/>
        <v>0</v>
      </c>
      <c r="BK63" s="24">
        <f t="shared" si="81"/>
        <v>0</v>
      </c>
      <c r="BL63" s="24">
        <f t="shared" si="81"/>
        <v>0</v>
      </c>
      <c r="BM63" s="24">
        <f t="shared" si="81"/>
        <v>0</v>
      </c>
      <c r="BN63" s="24"/>
      <c r="BO63" s="24"/>
      <c r="BP63" s="24">
        <f t="shared" si="82"/>
        <v>0</v>
      </c>
      <c r="BQ63" s="24">
        <f t="shared" si="83"/>
        <v>0</v>
      </c>
      <c r="BR63" s="25">
        <f t="shared" si="10"/>
        <v>1</v>
      </c>
      <c r="BS63" s="24">
        <f t="shared" si="84"/>
        <v>3000000</v>
      </c>
      <c r="BT63" s="24"/>
      <c r="BU63" s="24"/>
      <c r="BV63" s="24"/>
      <c r="BW63" s="24"/>
      <c r="BX63" s="24"/>
      <c r="BY63" s="24"/>
      <c r="BZ63" s="24"/>
      <c r="CA63" s="24"/>
      <c r="CB63" s="24"/>
      <c r="CC63" s="24"/>
      <c r="CD63" s="24"/>
      <c r="CE63" s="24"/>
      <c r="CF63" s="24"/>
      <c r="CG63" s="24"/>
      <c r="CH63" s="24"/>
      <c r="CI63" s="24"/>
      <c r="CJ63" s="24"/>
      <c r="CK63" s="24"/>
      <c r="CL63" s="24"/>
      <c r="CM63" s="24">
        <f>+'[6]JUNIO 2016'!$H$1784</f>
        <v>3000000</v>
      </c>
      <c r="CN63" s="25">
        <f t="shared" si="77"/>
        <v>0</v>
      </c>
      <c r="CO63" s="24">
        <f t="shared" si="85"/>
        <v>0</v>
      </c>
      <c r="CP63" s="24">
        <f t="shared" si="86"/>
        <v>0</v>
      </c>
      <c r="CQ63" s="24">
        <f t="shared" si="86"/>
        <v>0</v>
      </c>
      <c r="CR63" s="24">
        <f t="shared" si="86"/>
        <v>0</v>
      </c>
      <c r="CS63" s="24">
        <f t="shared" si="86"/>
        <v>0</v>
      </c>
      <c r="CT63" s="24">
        <f t="shared" si="86"/>
        <v>0</v>
      </c>
      <c r="CU63" s="24">
        <f t="shared" si="86"/>
        <v>0</v>
      </c>
      <c r="CV63" s="24">
        <f t="shared" si="87"/>
        <v>0</v>
      </c>
      <c r="CW63" s="24">
        <f t="shared" si="87"/>
        <v>0</v>
      </c>
      <c r="CX63" s="24">
        <f t="shared" si="87"/>
        <v>0</v>
      </c>
      <c r="CY63" s="24">
        <f t="shared" si="88"/>
        <v>0</v>
      </c>
      <c r="CZ63" s="24">
        <f t="shared" si="88"/>
        <v>0</v>
      </c>
      <c r="DA63" s="24">
        <f t="shared" si="88"/>
        <v>0</v>
      </c>
      <c r="DB63" s="24">
        <f t="shared" si="89"/>
        <v>0</v>
      </c>
      <c r="DC63" s="24">
        <f t="shared" si="89"/>
        <v>0</v>
      </c>
      <c r="DD63" s="24">
        <f t="shared" si="89"/>
        <v>0</v>
      </c>
      <c r="DE63" s="24"/>
      <c r="DF63" s="24">
        <f t="shared" si="90"/>
        <v>0</v>
      </c>
      <c r="DG63" s="54">
        <f t="shared" si="90"/>
        <v>0</v>
      </c>
      <c r="DH63" s="24">
        <f t="shared" si="90"/>
        <v>0</v>
      </c>
      <c r="DJ63" s="77"/>
      <c r="DK63" s="77"/>
      <c r="DL63" s="196">
        <f t="shared" si="43"/>
        <v>3000000</v>
      </c>
      <c r="DM63" s="197">
        <f t="shared" si="44"/>
        <v>3000000</v>
      </c>
      <c r="DN63" s="198">
        <f t="shared" si="72"/>
        <v>1</v>
      </c>
    </row>
    <row r="64" spans="1:118" ht="34.5" hidden="1" customHeight="1" x14ac:dyDescent="0.25">
      <c r="A64" s="229"/>
      <c r="B64" s="63" t="s">
        <v>193</v>
      </c>
      <c r="C64" s="20" t="s">
        <v>194</v>
      </c>
      <c r="D64" s="21" t="s">
        <v>195</v>
      </c>
      <c r="E64" s="22">
        <v>520</v>
      </c>
      <c r="F64" s="23" t="s">
        <v>91</v>
      </c>
      <c r="G64" s="24">
        <f t="shared" si="78"/>
        <v>20000000</v>
      </c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>
        <v>20000000</v>
      </c>
      <c r="T64" s="24"/>
      <c r="U64" s="24"/>
      <c r="V64" s="24"/>
      <c r="W64" s="24"/>
      <c r="X64" s="24"/>
      <c r="Y64" s="24"/>
      <c r="Z64" s="24"/>
      <c r="AA64" s="25">
        <f t="shared" si="1"/>
        <v>0.84690584999999996</v>
      </c>
      <c r="AB64" s="24">
        <f t="shared" si="91"/>
        <v>16938117</v>
      </c>
      <c r="AC64" s="24"/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4"/>
      <c r="AO64" s="24">
        <f>+'[1]SEPTIEMBRE 2016'!$W$3060</f>
        <v>16938117</v>
      </c>
      <c r="AP64" s="24"/>
      <c r="AQ64" s="24"/>
      <c r="AR64" s="24"/>
      <c r="AS64" s="24"/>
      <c r="AT64" s="24"/>
      <c r="AU64" s="24"/>
      <c r="AV64" s="24"/>
      <c r="AW64" s="25">
        <f t="shared" si="3"/>
        <v>0.15309415000000004</v>
      </c>
      <c r="AX64" s="24">
        <f t="shared" si="79"/>
        <v>3061883</v>
      </c>
      <c r="AY64" s="24">
        <f t="shared" si="80"/>
        <v>0</v>
      </c>
      <c r="AZ64" s="24">
        <f t="shared" si="80"/>
        <v>0</v>
      </c>
      <c r="BA64" s="24">
        <f t="shared" si="80"/>
        <v>0</v>
      </c>
      <c r="BB64" s="24">
        <f t="shared" si="81"/>
        <v>0</v>
      </c>
      <c r="BC64" s="24">
        <f t="shared" si="81"/>
        <v>0</v>
      </c>
      <c r="BD64" s="24">
        <f t="shared" si="81"/>
        <v>0</v>
      </c>
      <c r="BE64" s="24">
        <f t="shared" si="81"/>
        <v>0</v>
      </c>
      <c r="BF64" s="24">
        <f t="shared" si="81"/>
        <v>0</v>
      </c>
      <c r="BG64" s="24">
        <f t="shared" si="81"/>
        <v>0</v>
      </c>
      <c r="BH64" s="24">
        <f t="shared" si="81"/>
        <v>0</v>
      </c>
      <c r="BI64" s="24">
        <f t="shared" si="81"/>
        <v>0</v>
      </c>
      <c r="BJ64" s="24">
        <f t="shared" si="81"/>
        <v>3061883</v>
      </c>
      <c r="BK64" s="24">
        <f t="shared" si="81"/>
        <v>0</v>
      </c>
      <c r="BL64" s="24">
        <f t="shared" si="81"/>
        <v>0</v>
      </c>
      <c r="BM64" s="24">
        <f t="shared" si="81"/>
        <v>0</v>
      </c>
      <c r="BN64" s="24"/>
      <c r="BO64" s="24">
        <f>+X64-AT64</f>
        <v>0</v>
      </c>
      <c r="BP64" s="24">
        <f t="shared" si="82"/>
        <v>0</v>
      </c>
      <c r="BQ64" s="24">
        <f t="shared" si="83"/>
        <v>0</v>
      </c>
      <c r="BR64" s="25">
        <f t="shared" si="10"/>
        <v>0.8357021</v>
      </c>
      <c r="BS64" s="24">
        <f t="shared" si="84"/>
        <v>16714042</v>
      </c>
      <c r="BT64" s="24"/>
      <c r="BU64" s="24"/>
      <c r="BV64" s="24"/>
      <c r="BW64" s="24"/>
      <c r="BX64" s="24"/>
      <c r="BY64" s="24"/>
      <c r="BZ64" s="24"/>
      <c r="CA64" s="24"/>
      <c r="CB64" s="24"/>
      <c r="CC64" s="24"/>
      <c r="CD64" s="24"/>
      <c r="CE64" s="24"/>
      <c r="CF64" s="24">
        <f>+'[1]SEPTIEMBRE 2016'!$H$3058</f>
        <v>16714042</v>
      </c>
      <c r="CG64" s="24"/>
      <c r="CH64" s="24"/>
      <c r="CI64" s="24"/>
      <c r="CJ64" s="24"/>
      <c r="CK64" s="24"/>
      <c r="CL64" s="24"/>
      <c r="CM64" s="24"/>
      <c r="CN64" s="25">
        <f t="shared" si="77"/>
        <v>0.1642979</v>
      </c>
      <c r="CO64" s="24">
        <f t="shared" si="85"/>
        <v>3285958</v>
      </c>
      <c r="CP64" s="24">
        <f t="shared" si="86"/>
        <v>0</v>
      </c>
      <c r="CQ64" s="24">
        <f t="shared" si="86"/>
        <v>0</v>
      </c>
      <c r="CR64" s="24">
        <f t="shared" si="86"/>
        <v>0</v>
      </c>
      <c r="CS64" s="24">
        <f t="shared" si="86"/>
        <v>0</v>
      </c>
      <c r="CT64" s="24">
        <f t="shared" si="86"/>
        <v>0</v>
      </c>
      <c r="CU64" s="24">
        <f t="shared" si="86"/>
        <v>0</v>
      </c>
      <c r="CV64" s="24">
        <f t="shared" si="87"/>
        <v>0</v>
      </c>
      <c r="CW64" s="24">
        <f t="shared" si="87"/>
        <v>0</v>
      </c>
      <c r="CX64" s="24">
        <f t="shared" si="87"/>
        <v>0</v>
      </c>
      <c r="CY64" s="24">
        <f t="shared" si="88"/>
        <v>0</v>
      </c>
      <c r="CZ64" s="24">
        <f t="shared" si="88"/>
        <v>0</v>
      </c>
      <c r="DA64" s="24">
        <f t="shared" si="88"/>
        <v>3285958</v>
      </c>
      <c r="DB64" s="24">
        <f t="shared" si="89"/>
        <v>0</v>
      </c>
      <c r="DC64" s="24">
        <f t="shared" si="89"/>
        <v>0</v>
      </c>
      <c r="DD64" s="24">
        <f t="shared" si="89"/>
        <v>0</v>
      </c>
      <c r="DE64" s="24"/>
      <c r="DF64" s="24">
        <f t="shared" si="90"/>
        <v>0</v>
      </c>
      <c r="DG64" s="54">
        <f t="shared" si="90"/>
        <v>0</v>
      </c>
      <c r="DH64" s="24">
        <f t="shared" si="90"/>
        <v>0</v>
      </c>
      <c r="DJ64" s="77"/>
      <c r="DK64" s="77"/>
      <c r="DL64" s="196">
        <f t="shared" si="43"/>
        <v>20000000</v>
      </c>
      <c r="DM64" s="197">
        <f t="shared" si="44"/>
        <v>16714042</v>
      </c>
      <c r="DN64" s="198">
        <f t="shared" si="72"/>
        <v>0.8357021</v>
      </c>
    </row>
    <row r="65" spans="1:118" ht="36.75" hidden="1" customHeight="1" x14ac:dyDescent="0.25">
      <c r="A65" s="229"/>
      <c r="B65" s="231" t="s">
        <v>196</v>
      </c>
      <c r="C65" s="20" t="s">
        <v>197</v>
      </c>
      <c r="D65" s="21" t="s">
        <v>198</v>
      </c>
      <c r="E65" s="22">
        <v>520</v>
      </c>
      <c r="F65" s="23" t="s">
        <v>91</v>
      </c>
      <c r="G65" s="24">
        <f t="shared" si="78"/>
        <v>115000000</v>
      </c>
      <c r="H65" s="33"/>
      <c r="I65" s="33"/>
      <c r="J65" s="33"/>
      <c r="K65" s="24">
        <f>228450721-133450721</f>
        <v>95000000</v>
      </c>
      <c r="L65" s="24"/>
      <c r="M65" s="24"/>
      <c r="N65" s="24"/>
      <c r="O65" s="24"/>
      <c r="P65" s="24"/>
      <c r="Q65" s="24"/>
      <c r="R65" s="24"/>
      <c r="S65" s="24">
        <f>20000000</f>
        <v>20000000</v>
      </c>
      <c r="T65" s="24"/>
      <c r="U65" s="24"/>
      <c r="V65" s="24"/>
      <c r="W65" s="24"/>
      <c r="X65" s="24"/>
      <c r="Y65" s="24"/>
      <c r="Z65" s="24"/>
      <c r="AA65" s="25">
        <f t="shared" si="1"/>
        <v>0.57434843478260866</v>
      </c>
      <c r="AB65" s="24">
        <f t="shared" si="91"/>
        <v>66050070</v>
      </c>
      <c r="AC65" s="24"/>
      <c r="AD65" s="24"/>
      <c r="AE65" s="24"/>
      <c r="AF65" s="24"/>
      <c r="AG65" s="24">
        <f>+'[1]SEPTIEMBRE 2016'!$O$3089</f>
        <v>48608440</v>
      </c>
      <c r="AH65" s="24"/>
      <c r="AI65" s="24"/>
      <c r="AJ65" s="24"/>
      <c r="AK65" s="24"/>
      <c r="AL65" s="24"/>
      <c r="AM65" s="24"/>
      <c r="AN65" s="24"/>
      <c r="AO65" s="24">
        <f>+'[1]SEPTIEMBRE 2016'!$W$3089</f>
        <v>17441630</v>
      </c>
      <c r="AP65" s="24"/>
      <c r="AQ65" s="24"/>
      <c r="AR65" s="24"/>
      <c r="AS65" s="24"/>
      <c r="AT65" s="24"/>
      <c r="AU65" s="24"/>
      <c r="AV65" s="24"/>
      <c r="AW65" s="25">
        <f t="shared" si="3"/>
        <v>0.42565156521739134</v>
      </c>
      <c r="AX65" s="24">
        <f t="shared" si="79"/>
        <v>48949930</v>
      </c>
      <c r="AY65" s="24">
        <f t="shared" si="80"/>
        <v>0</v>
      </c>
      <c r="AZ65" s="24">
        <f t="shared" si="80"/>
        <v>0</v>
      </c>
      <c r="BA65" s="24">
        <f t="shared" si="80"/>
        <v>0</v>
      </c>
      <c r="BB65" s="24">
        <f t="shared" si="81"/>
        <v>46391560</v>
      </c>
      <c r="BC65" s="24">
        <f t="shared" si="81"/>
        <v>0</v>
      </c>
      <c r="BD65" s="24">
        <f t="shared" si="81"/>
        <v>0</v>
      </c>
      <c r="BE65" s="24">
        <f>N65-AJ65</f>
        <v>0</v>
      </c>
      <c r="BF65" s="24">
        <f t="shared" si="81"/>
        <v>0</v>
      </c>
      <c r="BG65" s="24">
        <f t="shared" si="81"/>
        <v>0</v>
      </c>
      <c r="BH65" s="24">
        <f t="shared" si="81"/>
        <v>0</v>
      </c>
      <c r="BI65" s="24">
        <f t="shared" si="81"/>
        <v>0</v>
      </c>
      <c r="BJ65" s="24">
        <f t="shared" si="81"/>
        <v>2558370</v>
      </c>
      <c r="BK65" s="24">
        <f>T65-AP65</f>
        <v>0</v>
      </c>
      <c r="BL65" s="24">
        <f t="shared" si="81"/>
        <v>0</v>
      </c>
      <c r="BM65" s="24">
        <f t="shared" si="81"/>
        <v>0</v>
      </c>
      <c r="BN65" s="24"/>
      <c r="BO65" s="24"/>
      <c r="BP65" s="24">
        <f t="shared" si="82"/>
        <v>0</v>
      </c>
      <c r="BQ65" s="24">
        <f t="shared" si="83"/>
        <v>0</v>
      </c>
      <c r="BR65" s="25">
        <f t="shared" si="10"/>
        <v>0.57153591304347828</v>
      </c>
      <c r="BS65" s="24">
        <f t="shared" si="84"/>
        <v>65726630</v>
      </c>
      <c r="BT65" s="24"/>
      <c r="BU65" s="24"/>
      <c r="BV65" s="24"/>
      <c r="BW65" s="24"/>
      <c r="BX65" s="24">
        <f>+'[1]SEPTIEMBRE 2016'!$H$3090+'[1]SEPTIEMBRE 2016'!$H$3093+'[1]SEPTIEMBRE 2016'!$H$3095+'[1]SEPTIEMBRE 2016'!$H$3100</f>
        <v>48285000</v>
      </c>
      <c r="BY65" s="24"/>
      <c r="BZ65" s="24"/>
      <c r="CA65" s="24"/>
      <c r="CB65" s="24"/>
      <c r="CC65" s="24"/>
      <c r="CD65" s="24"/>
      <c r="CE65" s="24"/>
      <c r="CF65" s="24">
        <f>+'[1]SEPTIEMBRE 2016'!$H$3087-BX65</f>
        <v>17441630</v>
      </c>
      <c r="CG65" s="24"/>
      <c r="CH65" s="24"/>
      <c r="CI65" s="24"/>
      <c r="CJ65" s="24"/>
      <c r="CK65" s="24"/>
      <c r="CL65" s="24"/>
      <c r="CM65" s="24"/>
      <c r="CN65" s="25">
        <f t="shared" si="77"/>
        <v>0.42846408695652172</v>
      </c>
      <c r="CO65" s="24">
        <f t="shared" si="85"/>
        <v>49273370</v>
      </c>
      <c r="CP65" s="24">
        <f t="shared" si="86"/>
        <v>0</v>
      </c>
      <c r="CQ65" s="24">
        <f t="shared" si="86"/>
        <v>0</v>
      </c>
      <c r="CR65" s="24">
        <f t="shared" si="86"/>
        <v>0</v>
      </c>
      <c r="CS65" s="24">
        <f t="shared" si="86"/>
        <v>46715000</v>
      </c>
      <c r="CT65" s="24">
        <f t="shared" si="86"/>
        <v>0</v>
      </c>
      <c r="CU65" s="24">
        <f t="shared" si="86"/>
        <v>0</v>
      </c>
      <c r="CV65" s="24">
        <f t="shared" si="87"/>
        <v>0</v>
      </c>
      <c r="CW65" s="24">
        <f t="shared" si="87"/>
        <v>0</v>
      </c>
      <c r="CX65" s="24">
        <f t="shared" si="87"/>
        <v>0</v>
      </c>
      <c r="CY65" s="24">
        <f t="shared" si="88"/>
        <v>0</v>
      </c>
      <c r="CZ65" s="24">
        <f t="shared" si="88"/>
        <v>0</v>
      </c>
      <c r="DA65" s="24">
        <f t="shared" si="88"/>
        <v>2558370</v>
      </c>
      <c r="DB65" s="24">
        <f t="shared" si="89"/>
        <v>0</v>
      </c>
      <c r="DC65" s="24">
        <f t="shared" si="89"/>
        <v>0</v>
      </c>
      <c r="DD65" s="24">
        <f t="shared" si="89"/>
        <v>0</v>
      </c>
      <c r="DE65" s="24"/>
      <c r="DF65" s="24">
        <f t="shared" si="90"/>
        <v>0</v>
      </c>
      <c r="DG65" s="54">
        <f t="shared" si="90"/>
        <v>0</v>
      </c>
      <c r="DH65" s="24">
        <f t="shared" si="90"/>
        <v>0</v>
      </c>
      <c r="DJ65" s="77"/>
      <c r="DK65" s="77"/>
      <c r="DL65" s="196">
        <f t="shared" si="43"/>
        <v>115000000</v>
      </c>
      <c r="DM65" s="197">
        <f t="shared" si="44"/>
        <v>65726630</v>
      </c>
      <c r="DN65" s="198">
        <f t="shared" si="72"/>
        <v>0.57153591304347828</v>
      </c>
    </row>
    <row r="66" spans="1:118" ht="33.75" hidden="1" customHeight="1" x14ac:dyDescent="0.25">
      <c r="A66" s="229"/>
      <c r="B66" s="232"/>
      <c r="C66" s="20" t="s">
        <v>199</v>
      </c>
      <c r="D66" s="21" t="s">
        <v>200</v>
      </c>
      <c r="E66" s="22">
        <v>520</v>
      </c>
      <c r="F66" s="23" t="s">
        <v>91</v>
      </c>
      <c r="G66" s="24">
        <f t="shared" si="78"/>
        <v>405901442</v>
      </c>
      <c r="H66" s="45"/>
      <c r="I66" s="33"/>
      <c r="J66" s="33"/>
      <c r="K66" s="24">
        <f>28450721+133450721</f>
        <v>161901442</v>
      </c>
      <c r="L66" s="24"/>
      <c r="M66" s="24"/>
      <c r="N66" s="24"/>
      <c r="O66" s="24"/>
      <c r="P66" s="24"/>
      <c r="Q66" s="24"/>
      <c r="R66" s="24">
        <f>200000000+44000000</f>
        <v>244000000</v>
      </c>
      <c r="S66" s="24"/>
      <c r="T66" s="24"/>
      <c r="U66" s="24"/>
      <c r="V66" s="24"/>
      <c r="W66" s="24"/>
      <c r="X66" s="24"/>
      <c r="Y66" s="24"/>
      <c r="Z66" s="24"/>
      <c r="AA66" s="25">
        <f t="shared" si="1"/>
        <v>0.7618858373013615</v>
      </c>
      <c r="AB66" s="24">
        <f t="shared" si="91"/>
        <v>309250560</v>
      </c>
      <c r="AC66" s="24"/>
      <c r="AD66" s="24"/>
      <c r="AE66" s="24"/>
      <c r="AF66" s="24"/>
      <c r="AG66" s="24">
        <f>+'[1]SEPTIEMBRE 2016'!$O$3105</f>
        <v>122148569</v>
      </c>
      <c r="AH66" s="24"/>
      <c r="AI66" s="24"/>
      <c r="AJ66" s="24"/>
      <c r="AK66" s="24"/>
      <c r="AL66" s="24"/>
      <c r="AM66" s="24"/>
      <c r="AN66" s="24">
        <f>+'[4]AGOSTO 2016'!$V$2654</f>
        <v>187101991</v>
      </c>
      <c r="AO66" s="24"/>
      <c r="AP66" s="24"/>
      <c r="AQ66" s="24"/>
      <c r="AR66" s="24"/>
      <c r="AS66" s="24"/>
      <c r="AT66" s="24"/>
      <c r="AU66" s="24"/>
      <c r="AV66" s="24"/>
      <c r="AW66" s="25">
        <f t="shared" si="3"/>
        <v>0.2381141626986385</v>
      </c>
      <c r="AX66" s="24">
        <f t="shared" si="79"/>
        <v>96650882</v>
      </c>
      <c r="AY66" s="24">
        <f t="shared" si="80"/>
        <v>0</v>
      </c>
      <c r="AZ66" s="24">
        <f t="shared" si="80"/>
        <v>0</v>
      </c>
      <c r="BA66" s="24">
        <f t="shared" si="80"/>
        <v>0</v>
      </c>
      <c r="BB66" s="24">
        <f t="shared" si="81"/>
        <v>39752873</v>
      </c>
      <c r="BC66" s="24">
        <f t="shared" si="81"/>
        <v>0</v>
      </c>
      <c r="BD66" s="24">
        <f t="shared" si="81"/>
        <v>0</v>
      </c>
      <c r="BE66" s="24">
        <f>N66-AJ66</f>
        <v>0</v>
      </c>
      <c r="BF66" s="24">
        <f t="shared" si="81"/>
        <v>0</v>
      </c>
      <c r="BG66" s="24">
        <f t="shared" si="81"/>
        <v>0</v>
      </c>
      <c r="BH66" s="24">
        <f t="shared" si="81"/>
        <v>0</v>
      </c>
      <c r="BI66" s="24">
        <f t="shared" si="81"/>
        <v>56898009</v>
      </c>
      <c r="BJ66" s="24">
        <f t="shared" si="81"/>
        <v>0</v>
      </c>
      <c r="BK66" s="24">
        <f>T66-AP66</f>
        <v>0</v>
      </c>
      <c r="BL66" s="24">
        <f t="shared" si="81"/>
        <v>0</v>
      </c>
      <c r="BM66" s="24">
        <f t="shared" si="81"/>
        <v>0</v>
      </c>
      <c r="BN66" s="24"/>
      <c r="BO66" s="24"/>
      <c r="BP66" s="24">
        <f t="shared" si="82"/>
        <v>0</v>
      </c>
      <c r="BQ66" s="24">
        <f t="shared" si="83"/>
        <v>0</v>
      </c>
      <c r="BR66" s="25">
        <f t="shared" si="10"/>
        <v>0.75357296710465982</v>
      </c>
      <c r="BS66" s="24">
        <f t="shared" si="84"/>
        <v>305876354</v>
      </c>
      <c r="BT66" s="24"/>
      <c r="BU66" s="24"/>
      <c r="BV66" s="24"/>
      <c r="BW66" s="24"/>
      <c r="BX66" s="24">
        <f>+'[1]SEPTIEMBRE 2016'!$H$3106+'[1]SEPTIEMBRE 2016'!$H$3137+'[1]SEPTIEMBRE 2016'!$H$3139+'[1]SEPTIEMBRE 2016'!$H$3140+'[1]SEPTIEMBRE 2016'!$H$3141+'[1]SEPTIEMBRE 2016'!$H$3142+'[1]SEPTIEMBRE 2016'!$H$3143+'[1]SEPTIEMBRE 2016'!$H$3146+'[1]SEPTIEMBRE 2016'!$H$3147+'[1]SEPTIEMBRE 2016'!$H$3148+'[1]SEPTIEMBRE 2016'!$H$3149+'[1]SEPTIEMBRE 2016'!$H$3150+'[1]SEPTIEMBRE 2016'!$H$3151+'[1]SEPTIEMBRE 2016'!$H$3152+'[1]SEPTIEMBRE 2016'!$H$3154+'[1]SEPTIEMBRE 2016'!$H$3159+'[1]SEPTIEMBRE 2016'!$H$3160+'[1]SEPTIEMBRE 2016'!$H$3161+'[1]SEPTIEMBRE 2016'!$H$3185+'[1]SEPTIEMBRE 2016'!$H$3186+'[1]SEPTIEMBRE 2016'!$H$3188+'[1]SEPTIEMBRE 2016'!$H$3189+'[1]SEPTIEMBRE 2016'!$H$3190+'[1]SEPTIEMBRE 2016'!$H$3191+'[1]SEPTIEMBRE 2016'!$H$3192+'[1]SEPTIEMBRE 2016'!$H$3193+'[1]SEPTIEMBRE 2016'!$H$3194+'[1]SEPTIEMBRE 2016'!$H$3195+'[1]SEPTIEMBRE 2016'!$H$3198+'[1]SEPTIEMBRE 2016'!$H$3199+'[1]SEPTIEMBRE 2016'!$H$3200+'[1]SEPTIEMBRE 2016'!$H$3214+'[1]SEPTIEMBRE 2016'!$H$3215+'[1]SEPTIEMBRE 2016'!$H$3216+'[1]SEPTIEMBRE 2016'!$H$3218+'[1]SEPTIEMBRE 2016'!$H$3221+'[1]SEPTIEMBRE 2016'!$H$3222+'[1]SEPTIEMBRE 2016'!$H$3223+'[1]SEPTIEMBRE 2016'!$H$3224+'[1]SEPTIEMBRE 2016'!$H$3225+'[1]SEPTIEMBRE 2016'!$H$3226+'[1]SEPTIEMBRE 2016'!$H$3227+'[1]SEPTIEMBRE 2016'!$H$3228+'[1]SEPTIEMBRE 2016'!$H$3229+'[1]SEPTIEMBRE 2016'!$H$3230</f>
        <v>120500740</v>
      </c>
      <c r="BY66" s="24"/>
      <c r="BZ66" s="24"/>
      <c r="CA66" s="24"/>
      <c r="CB66" s="24"/>
      <c r="CC66" s="24"/>
      <c r="CD66" s="24"/>
      <c r="CE66" s="24">
        <f>+'[1]SEPTIEMBRE 2016'!$H$3103-BX66</f>
        <v>185375614</v>
      </c>
      <c r="CF66" s="24"/>
      <c r="CG66" s="24"/>
      <c r="CH66" s="24"/>
      <c r="CI66" s="24"/>
      <c r="CJ66" s="24"/>
      <c r="CK66" s="24"/>
      <c r="CL66" s="24"/>
      <c r="CM66" s="24"/>
      <c r="CN66" s="25">
        <f t="shared" si="77"/>
        <v>0.24642703289534018</v>
      </c>
      <c r="CO66" s="24">
        <f t="shared" si="85"/>
        <v>100025088</v>
      </c>
      <c r="CP66" s="24">
        <f t="shared" si="86"/>
        <v>0</v>
      </c>
      <c r="CQ66" s="24">
        <f t="shared" si="86"/>
        <v>0</v>
      </c>
      <c r="CR66" s="24">
        <f t="shared" si="86"/>
        <v>0</v>
      </c>
      <c r="CS66" s="24">
        <f t="shared" si="86"/>
        <v>41400702</v>
      </c>
      <c r="CT66" s="24">
        <f t="shared" si="86"/>
        <v>0</v>
      </c>
      <c r="CU66" s="24">
        <f t="shared" si="86"/>
        <v>0</v>
      </c>
      <c r="CV66" s="24">
        <f t="shared" si="87"/>
        <v>0</v>
      </c>
      <c r="CW66" s="24">
        <f t="shared" si="87"/>
        <v>0</v>
      </c>
      <c r="CX66" s="24">
        <f t="shared" si="87"/>
        <v>0</v>
      </c>
      <c r="CY66" s="24">
        <f t="shared" si="88"/>
        <v>0</v>
      </c>
      <c r="CZ66" s="24">
        <f t="shared" si="88"/>
        <v>58624386</v>
      </c>
      <c r="DA66" s="24">
        <f t="shared" si="88"/>
        <v>0</v>
      </c>
      <c r="DB66" s="24">
        <f t="shared" si="89"/>
        <v>0</v>
      </c>
      <c r="DC66" s="24">
        <f t="shared" si="89"/>
        <v>0</v>
      </c>
      <c r="DD66" s="24">
        <f t="shared" si="89"/>
        <v>0</v>
      </c>
      <c r="DE66" s="24"/>
      <c r="DF66" s="24">
        <f t="shared" si="90"/>
        <v>0</v>
      </c>
      <c r="DG66" s="54">
        <f t="shared" si="90"/>
        <v>0</v>
      </c>
      <c r="DH66" s="24">
        <f t="shared" si="90"/>
        <v>0</v>
      </c>
      <c r="DJ66" s="77"/>
      <c r="DK66" s="77"/>
      <c r="DL66" s="196">
        <f t="shared" si="43"/>
        <v>405901442</v>
      </c>
      <c r="DM66" s="197">
        <f t="shared" si="44"/>
        <v>305876354</v>
      </c>
      <c r="DN66" s="198">
        <f t="shared" si="72"/>
        <v>0.75357296710465982</v>
      </c>
    </row>
    <row r="67" spans="1:118" ht="30.75" hidden="1" customHeight="1" x14ac:dyDescent="0.25">
      <c r="A67" s="229"/>
      <c r="B67" s="232"/>
      <c r="C67" s="20" t="s">
        <v>201</v>
      </c>
      <c r="D67" s="21" t="s">
        <v>202</v>
      </c>
      <c r="E67" s="22">
        <v>520</v>
      </c>
      <c r="F67" s="23" t="s">
        <v>203</v>
      </c>
      <c r="G67" s="24">
        <f t="shared" si="78"/>
        <v>11000000</v>
      </c>
      <c r="H67" s="33"/>
      <c r="I67" s="33"/>
      <c r="J67" s="33"/>
      <c r="K67" s="33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>
        <f>8000000+3000000</f>
        <v>11000000</v>
      </c>
      <c r="AA67" s="25">
        <f t="shared" si="1"/>
        <v>0.72727272727272729</v>
      </c>
      <c r="AB67" s="24">
        <f t="shared" si="91"/>
        <v>8000000</v>
      </c>
      <c r="AC67" s="24"/>
      <c r="AD67" s="24"/>
      <c r="AE67" s="24"/>
      <c r="AF67" s="24"/>
      <c r="AG67" s="24"/>
      <c r="AH67" s="24"/>
      <c r="AI67" s="24"/>
      <c r="AJ67" s="24"/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>
        <f>+'[6]JUNIO 2016'!$AG$1918</f>
        <v>8000000</v>
      </c>
      <c r="AW67" s="25">
        <f t="shared" si="3"/>
        <v>0.27272727272727271</v>
      </c>
      <c r="AX67" s="24">
        <f t="shared" si="79"/>
        <v>3000000</v>
      </c>
      <c r="AY67" s="24">
        <f t="shared" si="80"/>
        <v>0</v>
      </c>
      <c r="AZ67" s="24">
        <f t="shared" si="80"/>
        <v>0</v>
      </c>
      <c r="BA67" s="24">
        <f t="shared" si="80"/>
        <v>0</v>
      </c>
      <c r="BB67" s="24">
        <f t="shared" si="81"/>
        <v>0</v>
      </c>
      <c r="BC67" s="24">
        <f t="shared" si="81"/>
        <v>0</v>
      </c>
      <c r="BD67" s="24">
        <f t="shared" si="81"/>
        <v>0</v>
      </c>
      <c r="BE67" s="24">
        <f>N67-AJ67</f>
        <v>0</v>
      </c>
      <c r="BF67" s="24">
        <f t="shared" si="81"/>
        <v>0</v>
      </c>
      <c r="BG67" s="24">
        <f t="shared" si="81"/>
        <v>0</v>
      </c>
      <c r="BH67" s="24">
        <f t="shared" si="81"/>
        <v>0</v>
      </c>
      <c r="BI67" s="24">
        <f t="shared" si="81"/>
        <v>0</v>
      </c>
      <c r="BJ67" s="24">
        <f t="shared" si="81"/>
        <v>0</v>
      </c>
      <c r="BK67" s="24">
        <f>T67-AP67</f>
        <v>0</v>
      </c>
      <c r="BL67" s="24">
        <f t="shared" si="81"/>
        <v>0</v>
      </c>
      <c r="BM67" s="24">
        <f t="shared" si="81"/>
        <v>0</v>
      </c>
      <c r="BN67" s="24"/>
      <c r="BO67" s="24"/>
      <c r="BP67" s="24">
        <f t="shared" si="82"/>
        <v>0</v>
      </c>
      <c r="BQ67" s="24">
        <f t="shared" si="83"/>
        <v>3000000</v>
      </c>
      <c r="BR67" s="25">
        <f t="shared" si="10"/>
        <v>0.71506863636363638</v>
      </c>
      <c r="BS67" s="24">
        <f t="shared" si="84"/>
        <v>7865755</v>
      </c>
      <c r="BT67" s="24"/>
      <c r="BU67" s="24"/>
      <c r="BV67" s="24"/>
      <c r="BW67" s="24"/>
      <c r="BX67" s="24"/>
      <c r="BY67" s="24"/>
      <c r="BZ67" s="24"/>
      <c r="CA67" s="24"/>
      <c r="CB67" s="24"/>
      <c r="CC67" s="24"/>
      <c r="CD67" s="24"/>
      <c r="CE67" s="24"/>
      <c r="CF67" s="24"/>
      <c r="CG67" s="24"/>
      <c r="CH67" s="24"/>
      <c r="CI67" s="24"/>
      <c r="CJ67" s="24"/>
      <c r="CK67" s="24"/>
      <c r="CL67" s="24"/>
      <c r="CM67" s="24">
        <f>+'[1]SEPTIEMBRE 2016'!$H$3237</f>
        <v>7865755</v>
      </c>
      <c r="CN67" s="25">
        <f t="shared" si="77"/>
        <v>0.28493136363636362</v>
      </c>
      <c r="CO67" s="24">
        <f t="shared" si="85"/>
        <v>3134245</v>
      </c>
      <c r="CP67" s="24">
        <f t="shared" si="86"/>
        <v>0</v>
      </c>
      <c r="CQ67" s="24">
        <f t="shared" si="86"/>
        <v>0</v>
      </c>
      <c r="CR67" s="24">
        <f t="shared" si="86"/>
        <v>0</v>
      </c>
      <c r="CS67" s="24">
        <f t="shared" si="86"/>
        <v>0</v>
      </c>
      <c r="CT67" s="24">
        <f t="shared" si="86"/>
        <v>0</v>
      </c>
      <c r="CU67" s="24">
        <f t="shared" si="86"/>
        <v>0</v>
      </c>
      <c r="CV67" s="24">
        <f t="shared" si="87"/>
        <v>0</v>
      </c>
      <c r="CW67" s="24">
        <f t="shared" si="87"/>
        <v>0</v>
      </c>
      <c r="CX67" s="24">
        <f t="shared" si="87"/>
        <v>0</v>
      </c>
      <c r="CY67" s="24">
        <f t="shared" si="88"/>
        <v>0</v>
      </c>
      <c r="CZ67" s="24">
        <f t="shared" si="88"/>
        <v>0</v>
      </c>
      <c r="DA67" s="24">
        <f t="shared" si="88"/>
        <v>0</v>
      </c>
      <c r="DB67" s="24">
        <f t="shared" si="89"/>
        <v>0</v>
      </c>
      <c r="DC67" s="24">
        <f t="shared" si="89"/>
        <v>0</v>
      </c>
      <c r="DD67" s="24">
        <f t="shared" si="89"/>
        <v>0</v>
      </c>
      <c r="DE67" s="24"/>
      <c r="DF67" s="24">
        <f t="shared" si="90"/>
        <v>0</v>
      </c>
      <c r="DG67" s="54">
        <f t="shared" si="90"/>
        <v>0</v>
      </c>
      <c r="DH67" s="24">
        <f t="shared" si="90"/>
        <v>3134245</v>
      </c>
      <c r="DJ67" s="77"/>
      <c r="DK67" s="77"/>
      <c r="DL67" s="196">
        <f t="shared" si="43"/>
        <v>11000000</v>
      </c>
      <c r="DM67" s="197">
        <f t="shared" si="44"/>
        <v>7865755</v>
      </c>
      <c r="DN67" s="198">
        <f t="shared" si="72"/>
        <v>0.71506863636363638</v>
      </c>
    </row>
    <row r="68" spans="1:118" ht="34.5" hidden="1" customHeight="1" x14ac:dyDescent="0.25">
      <c r="A68" s="229"/>
      <c r="B68" s="232"/>
      <c r="C68" s="20" t="s">
        <v>204</v>
      </c>
      <c r="D68" s="21" t="s">
        <v>205</v>
      </c>
      <c r="E68" s="22">
        <v>520</v>
      </c>
      <c r="F68" s="23" t="s">
        <v>206</v>
      </c>
      <c r="G68" s="24">
        <f t="shared" si="78"/>
        <v>8504663</v>
      </c>
      <c r="H68" s="33"/>
      <c r="I68" s="33"/>
      <c r="J68" s="33"/>
      <c r="K68" s="33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>
        <f>5000000+3504663</f>
        <v>8504663</v>
      </c>
      <c r="AA68" s="25">
        <f t="shared" ref="AA68:AA93" si="92">+AB68/G68</f>
        <v>0.5879127720875007</v>
      </c>
      <c r="AB68" s="24">
        <f t="shared" si="91"/>
        <v>5000000</v>
      </c>
      <c r="AC68" s="24"/>
      <c r="AD68" s="24"/>
      <c r="AE68" s="24"/>
      <c r="AF68" s="24"/>
      <c r="AG68" s="24"/>
      <c r="AH68" s="24"/>
      <c r="AI68" s="24"/>
      <c r="AJ68" s="24"/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>
        <f>+'[7]MAYO 2016'!$AG$1678</f>
        <v>5000000</v>
      </c>
      <c r="AW68" s="25">
        <f t="shared" si="3"/>
        <v>0.4120872279124993</v>
      </c>
      <c r="AX68" s="24">
        <f t="shared" si="79"/>
        <v>3504663</v>
      </c>
      <c r="AY68" s="24">
        <f t="shared" si="80"/>
        <v>0</v>
      </c>
      <c r="AZ68" s="24">
        <f t="shared" si="80"/>
        <v>0</v>
      </c>
      <c r="BA68" s="24">
        <f t="shared" si="80"/>
        <v>0</v>
      </c>
      <c r="BB68" s="24">
        <f t="shared" si="81"/>
        <v>0</v>
      </c>
      <c r="BC68" s="24">
        <f t="shared" si="81"/>
        <v>0</v>
      </c>
      <c r="BD68" s="24">
        <f t="shared" si="81"/>
        <v>0</v>
      </c>
      <c r="BE68" s="24">
        <f>N68-AJ68</f>
        <v>0</v>
      </c>
      <c r="BF68" s="24">
        <f t="shared" si="81"/>
        <v>0</v>
      </c>
      <c r="BG68" s="24">
        <f t="shared" si="81"/>
        <v>0</v>
      </c>
      <c r="BH68" s="24">
        <f t="shared" si="81"/>
        <v>0</v>
      </c>
      <c r="BI68" s="24">
        <f t="shared" si="81"/>
        <v>0</v>
      </c>
      <c r="BJ68" s="24">
        <f t="shared" si="81"/>
        <v>0</v>
      </c>
      <c r="BK68" s="24">
        <f>T68-AP68</f>
        <v>0</v>
      </c>
      <c r="BL68" s="24">
        <f t="shared" si="81"/>
        <v>0</v>
      </c>
      <c r="BM68" s="24">
        <f t="shared" si="81"/>
        <v>0</v>
      </c>
      <c r="BN68" s="24"/>
      <c r="BO68" s="24"/>
      <c r="BP68" s="24">
        <f t="shared" si="82"/>
        <v>0</v>
      </c>
      <c r="BQ68" s="24">
        <f t="shared" si="83"/>
        <v>3504663</v>
      </c>
      <c r="BR68" s="25">
        <f t="shared" ref="BR68:BR93" si="93">+BS68/G68</f>
        <v>0.5871132107174617</v>
      </c>
      <c r="BS68" s="24">
        <f t="shared" si="84"/>
        <v>4993200</v>
      </c>
      <c r="BT68" s="24"/>
      <c r="BU68" s="24"/>
      <c r="BV68" s="24"/>
      <c r="BW68" s="24"/>
      <c r="BX68" s="24"/>
      <c r="BY68" s="24"/>
      <c r="BZ68" s="24"/>
      <c r="CA68" s="24"/>
      <c r="CB68" s="24"/>
      <c r="CC68" s="24"/>
      <c r="CD68" s="24"/>
      <c r="CE68" s="24"/>
      <c r="CF68" s="24"/>
      <c r="CG68" s="24"/>
      <c r="CH68" s="24"/>
      <c r="CI68" s="24"/>
      <c r="CJ68" s="24"/>
      <c r="CK68" s="24"/>
      <c r="CL68" s="24"/>
      <c r="CM68" s="24">
        <f>+'[7]MAYO 2016'!$H$1676</f>
        <v>4993200</v>
      </c>
      <c r="CN68" s="25">
        <f t="shared" si="77"/>
        <v>0.4128867892825383</v>
      </c>
      <c r="CO68" s="24">
        <f t="shared" si="85"/>
        <v>3511463</v>
      </c>
      <c r="CP68" s="24">
        <f t="shared" si="86"/>
        <v>0</v>
      </c>
      <c r="CQ68" s="24">
        <f t="shared" si="86"/>
        <v>0</v>
      </c>
      <c r="CR68" s="24">
        <f t="shared" si="86"/>
        <v>0</v>
      </c>
      <c r="CS68" s="24">
        <f t="shared" si="86"/>
        <v>0</v>
      </c>
      <c r="CT68" s="24">
        <f t="shared" si="86"/>
        <v>0</v>
      </c>
      <c r="CU68" s="24">
        <f t="shared" si="86"/>
        <v>0</v>
      </c>
      <c r="CV68" s="24">
        <f t="shared" si="87"/>
        <v>0</v>
      </c>
      <c r="CW68" s="24">
        <f t="shared" si="87"/>
        <v>0</v>
      </c>
      <c r="CX68" s="24">
        <f t="shared" si="87"/>
        <v>0</v>
      </c>
      <c r="CY68" s="24">
        <f t="shared" si="88"/>
        <v>0</v>
      </c>
      <c r="CZ68" s="24">
        <f t="shared" si="88"/>
        <v>0</v>
      </c>
      <c r="DA68" s="24">
        <f t="shared" si="88"/>
        <v>0</v>
      </c>
      <c r="DB68" s="24">
        <f t="shared" si="89"/>
        <v>0</v>
      </c>
      <c r="DC68" s="24">
        <f t="shared" si="89"/>
        <v>0</v>
      </c>
      <c r="DD68" s="24">
        <f t="shared" si="89"/>
        <v>0</v>
      </c>
      <c r="DE68" s="24"/>
      <c r="DF68" s="24">
        <f t="shared" si="90"/>
        <v>0</v>
      </c>
      <c r="DG68" s="54">
        <f t="shared" si="90"/>
        <v>0</v>
      </c>
      <c r="DH68" s="24">
        <f t="shared" si="90"/>
        <v>3511463</v>
      </c>
      <c r="DJ68" s="77"/>
      <c r="DK68" s="77"/>
      <c r="DL68" s="196">
        <f t="shared" si="43"/>
        <v>8504663</v>
      </c>
      <c r="DM68" s="197">
        <f t="shared" si="44"/>
        <v>4993200</v>
      </c>
      <c r="DN68" s="198">
        <f t="shared" si="72"/>
        <v>0.5871132107174617</v>
      </c>
    </row>
    <row r="69" spans="1:118" ht="35.25" hidden="1" customHeight="1" x14ac:dyDescent="0.25">
      <c r="A69" s="229"/>
      <c r="B69" s="232"/>
      <c r="C69" s="20" t="s">
        <v>207</v>
      </c>
      <c r="D69" s="21" t="s">
        <v>208</v>
      </c>
      <c r="E69" s="22">
        <v>520</v>
      </c>
      <c r="F69" s="23" t="s">
        <v>206</v>
      </c>
      <c r="G69" s="24">
        <f t="shared" si="78"/>
        <v>1000000</v>
      </c>
      <c r="H69" s="33"/>
      <c r="I69" s="33"/>
      <c r="J69" s="33"/>
      <c r="K69" s="33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>
        <f>7000000-7000000+1000000</f>
        <v>1000000</v>
      </c>
      <c r="AA69" s="25">
        <f t="shared" si="92"/>
        <v>0</v>
      </c>
      <c r="AB69" s="24">
        <f t="shared" si="91"/>
        <v>0</v>
      </c>
      <c r="AC69" s="24"/>
      <c r="AD69" s="24"/>
      <c r="AE69" s="24"/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5">
        <f t="shared" si="3"/>
        <v>1</v>
      </c>
      <c r="AX69" s="24">
        <f t="shared" si="79"/>
        <v>1000000</v>
      </c>
      <c r="AY69" s="24">
        <f t="shared" si="80"/>
        <v>0</v>
      </c>
      <c r="AZ69" s="24">
        <f t="shared" si="80"/>
        <v>0</v>
      </c>
      <c r="BA69" s="24">
        <f t="shared" si="80"/>
        <v>0</v>
      </c>
      <c r="BB69" s="24">
        <f t="shared" si="81"/>
        <v>0</v>
      </c>
      <c r="BC69" s="24">
        <f t="shared" si="81"/>
        <v>0</v>
      </c>
      <c r="BD69" s="24">
        <f t="shared" si="81"/>
        <v>0</v>
      </c>
      <c r="BE69" s="24">
        <f>+N69-AJ69</f>
        <v>0</v>
      </c>
      <c r="BF69" s="24">
        <f t="shared" si="81"/>
        <v>0</v>
      </c>
      <c r="BG69" s="24">
        <f t="shared" si="81"/>
        <v>0</v>
      </c>
      <c r="BH69" s="24">
        <f t="shared" si="81"/>
        <v>0</v>
      </c>
      <c r="BI69" s="24">
        <f t="shared" si="81"/>
        <v>0</v>
      </c>
      <c r="BJ69" s="24">
        <f t="shared" si="81"/>
        <v>0</v>
      </c>
      <c r="BK69" s="24">
        <f>+T69-AP69</f>
        <v>0</v>
      </c>
      <c r="BL69" s="24">
        <f t="shared" si="81"/>
        <v>0</v>
      </c>
      <c r="BM69" s="24">
        <f t="shared" si="81"/>
        <v>0</v>
      </c>
      <c r="BN69" s="24"/>
      <c r="BO69" s="24">
        <f>+X69-AT69</f>
        <v>0</v>
      </c>
      <c r="BP69" s="24">
        <f t="shared" si="82"/>
        <v>0</v>
      </c>
      <c r="BQ69" s="24">
        <f t="shared" si="83"/>
        <v>1000000</v>
      </c>
      <c r="BR69" s="25">
        <f t="shared" si="93"/>
        <v>0</v>
      </c>
      <c r="BS69" s="24">
        <f t="shared" si="84"/>
        <v>0</v>
      </c>
      <c r="BT69" s="24"/>
      <c r="BU69" s="24"/>
      <c r="BV69" s="24"/>
      <c r="BW69" s="24"/>
      <c r="BX69" s="24"/>
      <c r="BY69" s="24"/>
      <c r="BZ69" s="24"/>
      <c r="CA69" s="24"/>
      <c r="CB69" s="24"/>
      <c r="CC69" s="24"/>
      <c r="CD69" s="24"/>
      <c r="CE69" s="24"/>
      <c r="CF69" s="24"/>
      <c r="CG69" s="24"/>
      <c r="CH69" s="24"/>
      <c r="CI69" s="24"/>
      <c r="CJ69" s="24"/>
      <c r="CK69" s="24"/>
      <c r="CL69" s="24"/>
      <c r="CM69" s="24"/>
      <c r="CN69" s="25">
        <f t="shared" si="77"/>
        <v>1</v>
      </c>
      <c r="CO69" s="24">
        <f t="shared" si="85"/>
        <v>1000000</v>
      </c>
      <c r="CP69" s="24">
        <f t="shared" si="86"/>
        <v>0</v>
      </c>
      <c r="CQ69" s="24">
        <f t="shared" si="86"/>
        <v>0</v>
      </c>
      <c r="CR69" s="24">
        <f t="shared" si="86"/>
        <v>0</v>
      </c>
      <c r="CS69" s="24">
        <f t="shared" si="86"/>
        <v>0</v>
      </c>
      <c r="CT69" s="24">
        <f t="shared" si="86"/>
        <v>0</v>
      </c>
      <c r="CU69" s="24">
        <f t="shared" si="86"/>
        <v>0</v>
      </c>
      <c r="CV69" s="24">
        <f t="shared" si="87"/>
        <v>0</v>
      </c>
      <c r="CW69" s="24">
        <f t="shared" si="87"/>
        <v>0</v>
      </c>
      <c r="CX69" s="24">
        <f t="shared" si="87"/>
        <v>0</v>
      </c>
      <c r="CY69" s="24">
        <f t="shared" si="88"/>
        <v>0</v>
      </c>
      <c r="CZ69" s="24">
        <f t="shared" si="88"/>
        <v>0</v>
      </c>
      <c r="DA69" s="24">
        <f t="shared" si="88"/>
        <v>0</v>
      </c>
      <c r="DB69" s="24">
        <f t="shared" si="89"/>
        <v>0</v>
      </c>
      <c r="DC69" s="24">
        <f t="shared" si="89"/>
        <v>0</v>
      </c>
      <c r="DD69" s="24">
        <f t="shared" si="89"/>
        <v>0</v>
      </c>
      <c r="DE69" s="24"/>
      <c r="DF69" s="24">
        <f t="shared" si="90"/>
        <v>0</v>
      </c>
      <c r="DG69" s="54">
        <f t="shared" si="90"/>
        <v>0</v>
      </c>
      <c r="DH69" s="24">
        <f t="shared" si="90"/>
        <v>1000000</v>
      </c>
      <c r="DJ69" s="77"/>
      <c r="DK69" s="77"/>
      <c r="DL69" s="196">
        <f t="shared" si="43"/>
        <v>1000000</v>
      </c>
      <c r="DM69" s="197">
        <f t="shared" si="44"/>
        <v>0</v>
      </c>
      <c r="DN69" s="198">
        <f t="shared" si="72"/>
        <v>0</v>
      </c>
    </row>
    <row r="70" spans="1:118" ht="76.5" hidden="1" customHeight="1" x14ac:dyDescent="0.25">
      <c r="A70" s="229"/>
      <c r="B70" s="232"/>
      <c r="C70" s="20" t="s">
        <v>209</v>
      </c>
      <c r="D70" s="21" t="s">
        <v>210</v>
      </c>
      <c r="E70" s="22">
        <v>520</v>
      </c>
      <c r="F70" s="23" t="s">
        <v>211</v>
      </c>
      <c r="G70" s="24">
        <f t="shared" si="78"/>
        <v>486018694</v>
      </c>
      <c r="H70" s="33"/>
      <c r="I70" s="33"/>
      <c r="J70" s="33"/>
      <c r="K70" s="33"/>
      <c r="L70" s="24"/>
      <c r="M70" s="24"/>
      <c r="N70" s="24"/>
      <c r="O70" s="24"/>
      <c r="P70" s="24"/>
      <c r="Q70" s="24"/>
      <c r="R70" s="24"/>
      <c r="S70" s="24">
        <v>30000000</v>
      </c>
      <c r="T70" s="24"/>
      <c r="U70" s="24"/>
      <c r="V70" s="24"/>
      <c r="W70" s="24"/>
      <c r="X70" s="24"/>
      <c r="Y70" s="24"/>
      <c r="Z70" s="24">
        <f>267022558+25000000+11804220+35899362+2954659+41266345-11804220+4000000+896074+17250000+7067000+8662696+46000000</f>
        <v>456018694</v>
      </c>
      <c r="AA70" s="25">
        <f t="shared" si="92"/>
        <v>0.9168250676382419</v>
      </c>
      <c r="AB70" s="24">
        <f t="shared" si="91"/>
        <v>445594122</v>
      </c>
      <c r="AC70" s="24"/>
      <c r="AD70" s="24"/>
      <c r="AE70" s="24"/>
      <c r="AF70" s="24"/>
      <c r="AG70" s="24"/>
      <c r="AH70" s="24"/>
      <c r="AI70" s="24"/>
      <c r="AJ70" s="24"/>
      <c r="AK70" s="24"/>
      <c r="AL70" s="24"/>
      <c r="AM70" s="24"/>
      <c r="AN70" s="24"/>
      <c r="AO70" s="24">
        <f>+'[1]SEPTIEMBRE 2016'!$W$3281</f>
        <v>13947388</v>
      </c>
      <c r="AP70" s="24"/>
      <c r="AQ70" s="24"/>
      <c r="AR70" s="24"/>
      <c r="AS70" s="24"/>
      <c r="AT70" s="24"/>
      <c r="AU70" s="24"/>
      <c r="AV70" s="24">
        <f>+'[1]SEPTIEMBRE 2016'!$AG$3281</f>
        <v>431646734</v>
      </c>
      <c r="AW70" s="25">
        <f t="shared" ref="AW70:AW93" si="94">1-AA70</f>
        <v>8.3174932361758103E-2</v>
      </c>
      <c r="AX70" s="24">
        <f t="shared" si="79"/>
        <v>40424572</v>
      </c>
      <c r="AY70" s="24">
        <f t="shared" si="80"/>
        <v>0</v>
      </c>
      <c r="AZ70" s="24">
        <f t="shared" si="80"/>
        <v>0</v>
      </c>
      <c r="BA70" s="24">
        <f t="shared" si="80"/>
        <v>0</v>
      </c>
      <c r="BB70" s="24">
        <f t="shared" si="81"/>
        <v>0</v>
      </c>
      <c r="BC70" s="24">
        <f t="shared" si="81"/>
        <v>0</v>
      </c>
      <c r="BD70" s="24">
        <f t="shared" si="81"/>
        <v>0</v>
      </c>
      <c r="BE70" s="24">
        <f>+N70-AJ70</f>
        <v>0</v>
      </c>
      <c r="BF70" s="24">
        <f t="shared" si="81"/>
        <v>0</v>
      </c>
      <c r="BG70" s="24">
        <f t="shared" si="81"/>
        <v>0</v>
      </c>
      <c r="BH70" s="24">
        <f t="shared" si="81"/>
        <v>0</v>
      </c>
      <c r="BI70" s="24">
        <f t="shared" si="81"/>
        <v>0</v>
      </c>
      <c r="BJ70" s="24">
        <f t="shared" si="81"/>
        <v>16052612</v>
      </c>
      <c r="BK70" s="24">
        <f>+T70-AP70</f>
        <v>0</v>
      </c>
      <c r="BL70" s="24">
        <f t="shared" si="81"/>
        <v>0</v>
      </c>
      <c r="BM70" s="24">
        <f t="shared" si="81"/>
        <v>0</v>
      </c>
      <c r="BN70" s="24"/>
      <c r="BO70" s="24"/>
      <c r="BP70" s="24">
        <f t="shared" si="82"/>
        <v>0</v>
      </c>
      <c r="BQ70" s="24">
        <f t="shared" si="83"/>
        <v>24371960</v>
      </c>
      <c r="BR70" s="25">
        <f t="shared" si="93"/>
        <v>0.89408793399210273</v>
      </c>
      <c r="BS70" s="24">
        <f t="shared" si="84"/>
        <v>434543450</v>
      </c>
      <c r="BT70" s="24"/>
      <c r="BU70" s="24"/>
      <c r="BV70" s="24"/>
      <c r="BW70" s="24"/>
      <c r="BX70" s="24"/>
      <c r="BY70" s="24"/>
      <c r="BZ70" s="24"/>
      <c r="CA70" s="24"/>
      <c r="CB70" s="24"/>
      <c r="CC70" s="24"/>
      <c r="CD70" s="24"/>
      <c r="CE70" s="24"/>
      <c r="CF70" s="24">
        <f>+'[1]SEPTIEMBRE 2016'!$H$3395+'[1]SEPTIEMBRE 2016'!$H$3397+'[1]SEPTIEMBRE 2016'!$H$3399</f>
        <v>11224475</v>
      </c>
      <c r="CG70" s="24"/>
      <c r="CH70" s="24"/>
      <c r="CI70" s="24"/>
      <c r="CJ70" s="24"/>
      <c r="CK70" s="24"/>
      <c r="CL70" s="24"/>
      <c r="CM70" s="24">
        <f>+'[1]SEPTIEMBRE 2016'!$H$3279-CF70</f>
        <v>423318975</v>
      </c>
      <c r="CN70" s="25">
        <f t="shared" si="77"/>
        <v>0.10591206600789727</v>
      </c>
      <c r="CO70" s="24">
        <f t="shared" si="85"/>
        <v>51475244</v>
      </c>
      <c r="CP70" s="24">
        <f t="shared" si="86"/>
        <v>0</v>
      </c>
      <c r="CQ70" s="24">
        <f t="shared" si="86"/>
        <v>0</v>
      </c>
      <c r="CR70" s="24">
        <f t="shared" si="86"/>
        <v>0</v>
      </c>
      <c r="CS70" s="24">
        <f t="shared" si="86"/>
        <v>0</v>
      </c>
      <c r="CT70" s="24">
        <f t="shared" si="86"/>
        <v>0</v>
      </c>
      <c r="CU70" s="24">
        <f t="shared" si="86"/>
        <v>0</v>
      </c>
      <c r="CV70" s="24">
        <f t="shared" si="87"/>
        <v>0</v>
      </c>
      <c r="CW70" s="24">
        <f t="shared" si="87"/>
        <v>0</v>
      </c>
      <c r="CX70" s="24">
        <f t="shared" si="87"/>
        <v>0</v>
      </c>
      <c r="CY70" s="24">
        <f t="shared" si="88"/>
        <v>0</v>
      </c>
      <c r="CZ70" s="24">
        <f t="shared" si="88"/>
        <v>0</v>
      </c>
      <c r="DA70" s="24">
        <f t="shared" si="88"/>
        <v>18775525</v>
      </c>
      <c r="DB70" s="24">
        <f t="shared" si="89"/>
        <v>0</v>
      </c>
      <c r="DC70" s="24">
        <f t="shared" si="89"/>
        <v>0</v>
      </c>
      <c r="DD70" s="24">
        <f t="shared" si="89"/>
        <v>0</v>
      </c>
      <c r="DE70" s="24"/>
      <c r="DF70" s="24">
        <f t="shared" si="90"/>
        <v>0</v>
      </c>
      <c r="DG70" s="54">
        <f t="shared" si="90"/>
        <v>0</v>
      </c>
      <c r="DH70" s="24">
        <f t="shared" si="90"/>
        <v>32699719</v>
      </c>
      <c r="DJ70" s="77"/>
      <c r="DK70" s="77"/>
      <c r="DL70" s="196">
        <f t="shared" si="43"/>
        <v>486018694</v>
      </c>
      <c r="DM70" s="197">
        <f t="shared" si="44"/>
        <v>434543450</v>
      </c>
      <c r="DN70" s="198">
        <f t="shared" si="72"/>
        <v>0.89408793399210273</v>
      </c>
    </row>
    <row r="71" spans="1:118" ht="36" hidden="1" customHeight="1" x14ac:dyDescent="0.25">
      <c r="A71" s="229"/>
      <c r="B71" s="232"/>
      <c r="C71" s="20" t="s">
        <v>212</v>
      </c>
      <c r="D71" s="21" t="s">
        <v>213</v>
      </c>
      <c r="E71" s="22">
        <v>520</v>
      </c>
      <c r="F71" s="23" t="s">
        <v>91</v>
      </c>
      <c r="G71" s="24">
        <f t="shared" si="78"/>
        <v>20000000</v>
      </c>
      <c r="H71" s="33"/>
      <c r="I71" s="33"/>
      <c r="J71" s="33"/>
      <c r="K71" s="24">
        <v>20000000</v>
      </c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5">
        <f t="shared" si="92"/>
        <v>0.1</v>
      </c>
      <c r="AB71" s="24">
        <f t="shared" si="91"/>
        <v>2000000</v>
      </c>
      <c r="AC71" s="24"/>
      <c r="AD71" s="24"/>
      <c r="AE71" s="24"/>
      <c r="AF71" s="24"/>
      <c r="AG71" s="24">
        <f>+'[1]SEPTIEMBRE 2016'!$G$3405</f>
        <v>2000000</v>
      </c>
      <c r="AH71" s="24"/>
      <c r="AI71" s="24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5">
        <f t="shared" si="94"/>
        <v>0.9</v>
      </c>
      <c r="AX71" s="24">
        <f t="shared" si="79"/>
        <v>18000000</v>
      </c>
      <c r="AY71" s="24">
        <f t="shared" si="80"/>
        <v>0</v>
      </c>
      <c r="AZ71" s="24">
        <f t="shared" si="80"/>
        <v>0</v>
      </c>
      <c r="BA71" s="24">
        <f t="shared" si="80"/>
        <v>0</v>
      </c>
      <c r="BB71" s="24">
        <f t="shared" si="80"/>
        <v>18000000</v>
      </c>
      <c r="BC71" s="24">
        <f t="shared" si="80"/>
        <v>0</v>
      </c>
      <c r="BD71" s="24">
        <f t="shared" si="80"/>
        <v>0</v>
      </c>
      <c r="BE71" s="24">
        <f t="shared" si="80"/>
        <v>0</v>
      </c>
      <c r="BF71" s="24">
        <f t="shared" si="80"/>
        <v>0</v>
      </c>
      <c r="BG71" s="24">
        <f t="shared" si="80"/>
        <v>0</v>
      </c>
      <c r="BH71" s="24">
        <f t="shared" si="80"/>
        <v>0</v>
      </c>
      <c r="BI71" s="24">
        <f t="shared" si="80"/>
        <v>0</v>
      </c>
      <c r="BJ71" s="24">
        <f t="shared" si="80"/>
        <v>0</v>
      </c>
      <c r="BK71" s="24">
        <f t="shared" si="80"/>
        <v>0</v>
      </c>
      <c r="BL71" s="24">
        <f t="shared" si="80"/>
        <v>0</v>
      </c>
      <c r="BM71" s="24">
        <f t="shared" si="80"/>
        <v>0</v>
      </c>
      <c r="BN71" s="24"/>
      <c r="BO71" s="24">
        <f>X71-AT71</f>
        <v>0</v>
      </c>
      <c r="BP71" s="24">
        <f t="shared" si="82"/>
        <v>0</v>
      </c>
      <c r="BQ71" s="24">
        <f>Z71-AV71</f>
        <v>0</v>
      </c>
      <c r="BR71" s="25">
        <f t="shared" si="93"/>
        <v>0.1</v>
      </c>
      <c r="BS71" s="24">
        <f t="shared" si="84"/>
        <v>2000000</v>
      </c>
      <c r="BT71" s="24"/>
      <c r="BU71" s="24"/>
      <c r="BV71" s="24"/>
      <c r="BW71" s="24"/>
      <c r="BX71" s="24">
        <f>+'[1]SEPTIEMBRE 2016'!$H$3405</f>
        <v>2000000</v>
      </c>
      <c r="BY71" s="24"/>
      <c r="BZ71" s="24"/>
      <c r="CA71" s="24"/>
      <c r="CB71" s="24"/>
      <c r="CC71" s="24"/>
      <c r="CD71" s="24"/>
      <c r="CE71" s="24"/>
      <c r="CF71" s="24"/>
      <c r="CG71" s="24"/>
      <c r="CH71" s="24"/>
      <c r="CI71" s="24"/>
      <c r="CJ71" s="24"/>
      <c r="CK71" s="24"/>
      <c r="CL71" s="24"/>
      <c r="CM71" s="24"/>
      <c r="CN71" s="25">
        <f t="shared" si="77"/>
        <v>0.9</v>
      </c>
      <c r="CO71" s="24">
        <f t="shared" si="85"/>
        <v>18000000</v>
      </c>
      <c r="CP71" s="24">
        <f t="shared" si="86"/>
        <v>0</v>
      </c>
      <c r="CQ71" s="24">
        <f t="shared" si="86"/>
        <v>0</v>
      </c>
      <c r="CR71" s="24">
        <f t="shared" si="86"/>
        <v>0</v>
      </c>
      <c r="CS71" s="24">
        <f t="shared" si="86"/>
        <v>18000000</v>
      </c>
      <c r="CT71" s="24">
        <f t="shared" si="86"/>
        <v>0</v>
      </c>
      <c r="CU71" s="24">
        <f t="shared" si="86"/>
        <v>0</v>
      </c>
      <c r="CV71" s="24">
        <f t="shared" si="86"/>
        <v>0</v>
      </c>
      <c r="CW71" s="24">
        <f t="shared" si="86"/>
        <v>0</v>
      </c>
      <c r="CX71" s="24">
        <f t="shared" si="86"/>
        <v>0</v>
      </c>
      <c r="CY71" s="24">
        <f t="shared" si="88"/>
        <v>0</v>
      </c>
      <c r="CZ71" s="24">
        <f t="shared" si="88"/>
        <v>0</v>
      </c>
      <c r="DA71" s="24">
        <f t="shared" si="88"/>
        <v>0</v>
      </c>
      <c r="DB71" s="24">
        <f t="shared" si="88"/>
        <v>0</v>
      </c>
      <c r="DC71" s="24">
        <f t="shared" si="88"/>
        <v>0</v>
      </c>
      <c r="DD71" s="24">
        <f t="shared" si="88"/>
        <v>0</v>
      </c>
      <c r="DE71" s="24"/>
      <c r="DF71" s="24">
        <f t="shared" ref="DF71:DH72" si="95">X71-CK71</f>
        <v>0</v>
      </c>
      <c r="DG71" s="24">
        <f t="shared" si="95"/>
        <v>0</v>
      </c>
      <c r="DH71" s="24">
        <f t="shared" si="95"/>
        <v>0</v>
      </c>
      <c r="DJ71" s="77"/>
      <c r="DK71" s="77"/>
      <c r="DL71" s="196">
        <f t="shared" si="43"/>
        <v>20000000</v>
      </c>
      <c r="DM71" s="197">
        <f t="shared" si="44"/>
        <v>2000000</v>
      </c>
      <c r="DN71" s="198">
        <f t="shared" si="72"/>
        <v>0.1</v>
      </c>
    </row>
    <row r="72" spans="1:118" ht="34.5" hidden="1" customHeight="1" x14ac:dyDescent="0.25">
      <c r="A72" s="230"/>
      <c r="B72" s="233"/>
      <c r="C72" s="20" t="s">
        <v>214</v>
      </c>
      <c r="D72" s="21" t="s">
        <v>215</v>
      </c>
      <c r="E72" s="22">
        <v>520</v>
      </c>
      <c r="F72" s="23" t="s">
        <v>91</v>
      </c>
      <c r="G72" s="24">
        <f t="shared" si="78"/>
        <v>20000000</v>
      </c>
      <c r="H72" s="33"/>
      <c r="I72" s="33"/>
      <c r="J72" s="33"/>
      <c r="K72" s="24">
        <v>20000000</v>
      </c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5">
        <f t="shared" si="92"/>
        <v>0.93382905000000005</v>
      </c>
      <c r="AB72" s="24">
        <f t="shared" si="91"/>
        <v>18676581</v>
      </c>
      <c r="AC72" s="24"/>
      <c r="AD72" s="24"/>
      <c r="AE72" s="24"/>
      <c r="AF72" s="24"/>
      <c r="AG72" s="24">
        <f>+'[1]SEPTIEMBRE 2016'!$O$3413</f>
        <v>18676581</v>
      </c>
      <c r="AH72" s="24"/>
      <c r="AI72" s="24"/>
      <c r="AJ72" s="24"/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5">
        <f t="shared" si="94"/>
        <v>6.6170949999999951E-2</v>
      </c>
      <c r="AX72" s="24">
        <f t="shared" si="79"/>
        <v>1323419</v>
      </c>
      <c r="AY72" s="24">
        <f t="shared" si="80"/>
        <v>0</v>
      </c>
      <c r="AZ72" s="24">
        <f t="shared" si="80"/>
        <v>0</v>
      </c>
      <c r="BA72" s="24">
        <f t="shared" si="80"/>
        <v>0</v>
      </c>
      <c r="BB72" s="24">
        <f t="shared" si="80"/>
        <v>1323419</v>
      </c>
      <c r="BC72" s="24">
        <f t="shared" si="80"/>
        <v>0</v>
      </c>
      <c r="BD72" s="24">
        <f t="shared" si="80"/>
        <v>0</v>
      </c>
      <c r="BE72" s="24">
        <f t="shared" si="80"/>
        <v>0</v>
      </c>
      <c r="BF72" s="24">
        <f t="shared" si="80"/>
        <v>0</v>
      </c>
      <c r="BG72" s="24">
        <f t="shared" si="80"/>
        <v>0</v>
      </c>
      <c r="BH72" s="24">
        <f t="shared" si="80"/>
        <v>0</v>
      </c>
      <c r="BI72" s="24">
        <f t="shared" si="80"/>
        <v>0</v>
      </c>
      <c r="BJ72" s="24">
        <f t="shared" si="80"/>
        <v>0</v>
      </c>
      <c r="BK72" s="24">
        <f t="shared" si="80"/>
        <v>0</v>
      </c>
      <c r="BL72" s="24">
        <f t="shared" si="80"/>
        <v>0</v>
      </c>
      <c r="BM72" s="24">
        <f t="shared" si="80"/>
        <v>0</v>
      </c>
      <c r="BN72" s="24"/>
      <c r="BO72" s="24">
        <f>X72-AT72</f>
        <v>0</v>
      </c>
      <c r="BP72" s="24">
        <f t="shared" si="82"/>
        <v>0</v>
      </c>
      <c r="BQ72" s="24">
        <f>Z72-AV72</f>
        <v>0</v>
      </c>
      <c r="BR72" s="25">
        <f t="shared" si="93"/>
        <v>0.92382905000000004</v>
      </c>
      <c r="BS72" s="24">
        <f t="shared" si="84"/>
        <v>18476581</v>
      </c>
      <c r="BT72" s="24"/>
      <c r="BU72" s="24"/>
      <c r="BV72" s="24"/>
      <c r="BW72" s="24"/>
      <c r="BX72" s="24">
        <f>+'[1]SEPTIEMBRE 2016'!$H$3411</f>
        <v>18476581</v>
      </c>
      <c r="BY72" s="24"/>
      <c r="BZ72" s="24"/>
      <c r="CA72" s="24"/>
      <c r="CB72" s="24"/>
      <c r="CC72" s="24"/>
      <c r="CD72" s="24"/>
      <c r="CE72" s="24"/>
      <c r="CF72" s="24"/>
      <c r="CG72" s="24"/>
      <c r="CH72" s="24"/>
      <c r="CI72" s="24"/>
      <c r="CJ72" s="24"/>
      <c r="CK72" s="24"/>
      <c r="CL72" s="24"/>
      <c r="CM72" s="24"/>
      <c r="CN72" s="25">
        <f t="shared" si="77"/>
        <v>7.617094999999996E-2</v>
      </c>
      <c r="CO72" s="24">
        <f t="shared" si="85"/>
        <v>1523419</v>
      </c>
      <c r="CP72" s="24">
        <f t="shared" si="86"/>
        <v>0</v>
      </c>
      <c r="CQ72" s="24">
        <f t="shared" si="86"/>
        <v>0</v>
      </c>
      <c r="CR72" s="24">
        <f t="shared" si="86"/>
        <v>0</v>
      </c>
      <c r="CS72" s="24">
        <f t="shared" si="86"/>
        <v>1523419</v>
      </c>
      <c r="CT72" s="24">
        <f t="shared" si="86"/>
        <v>0</v>
      </c>
      <c r="CU72" s="24">
        <f t="shared" si="86"/>
        <v>0</v>
      </c>
      <c r="CV72" s="24">
        <f t="shared" si="86"/>
        <v>0</v>
      </c>
      <c r="CW72" s="24">
        <f t="shared" si="86"/>
        <v>0</v>
      </c>
      <c r="CX72" s="24">
        <f t="shared" si="86"/>
        <v>0</v>
      </c>
      <c r="CY72" s="24">
        <f t="shared" si="88"/>
        <v>0</v>
      </c>
      <c r="CZ72" s="24">
        <f t="shared" si="88"/>
        <v>0</v>
      </c>
      <c r="DA72" s="24">
        <f t="shared" si="88"/>
        <v>0</v>
      </c>
      <c r="DB72" s="24">
        <f t="shared" si="88"/>
        <v>0</v>
      </c>
      <c r="DC72" s="24">
        <f t="shared" si="88"/>
        <v>0</v>
      </c>
      <c r="DD72" s="24">
        <f t="shared" si="88"/>
        <v>0</v>
      </c>
      <c r="DE72" s="24"/>
      <c r="DF72" s="24">
        <f t="shared" si="95"/>
        <v>0</v>
      </c>
      <c r="DG72" s="24">
        <f t="shared" si="95"/>
        <v>0</v>
      </c>
      <c r="DH72" s="24">
        <f t="shared" si="95"/>
        <v>0</v>
      </c>
      <c r="DJ72" s="77"/>
      <c r="DK72" s="77"/>
      <c r="DL72" s="196">
        <f t="shared" si="43"/>
        <v>20000000</v>
      </c>
      <c r="DM72" s="197">
        <f t="shared" si="44"/>
        <v>18476581</v>
      </c>
      <c r="DN72" s="198">
        <f t="shared" si="72"/>
        <v>0.92382905000000004</v>
      </c>
    </row>
    <row r="73" spans="1:118" ht="33" hidden="1" customHeight="1" x14ac:dyDescent="0.25">
      <c r="A73" s="228" t="s">
        <v>183</v>
      </c>
      <c r="B73" s="242" t="s">
        <v>216</v>
      </c>
      <c r="C73" s="20" t="s">
        <v>217</v>
      </c>
      <c r="D73" s="21" t="s">
        <v>218</v>
      </c>
      <c r="E73" s="22">
        <v>520</v>
      </c>
      <c r="F73" s="23" t="s">
        <v>91</v>
      </c>
      <c r="G73" s="24">
        <f t="shared" si="78"/>
        <v>10000000</v>
      </c>
      <c r="H73" s="33"/>
      <c r="I73" s="24"/>
      <c r="J73" s="24"/>
      <c r="K73" s="24">
        <f>20000000-10000000</f>
        <v>10000000</v>
      </c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5">
        <f t="shared" si="92"/>
        <v>0.98321999999999998</v>
      </c>
      <c r="AB73" s="24">
        <f t="shared" si="91"/>
        <v>9832200</v>
      </c>
      <c r="AC73" s="24"/>
      <c r="AD73" s="24"/>
      <c r="AE73" s="24"/>
      <c r="AF73" s="24"/>
      <c r="AG73" s="24">
        <f>+'[1]SEPTIEMBRE 2016'!$O$3429</f>
        <v>9832200</v>
      </c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5">
        <f t="shared" si="94"/>
        <v>1.6780000000000017E-2</v>
      </c>
      <c r="AX73" s="24">
        <f t="shared" si="79"/>
        <v>167800</v>
      </c>
      <c r="AY73" s="24">
        <f t="shared" si="80"/>
        <v>0</v>
      </c>
      <c r="AZ73" s="24">
        <f t="shared" si="80"/>
        <v>0</v>
      </c>
      <c r="BA73" s="24">
        <f t="shared" si="80"/>
        <v>0</v>
      </c>
      <c r="BB73" s="24">
        <f t="shared" ref="BB73:BM88" si="96">+K73-AG73</f>
        <v>167800</v>
      </c>
      <c r="BC73" s="24">
        <f t="shared" si="96"/>
        <v>0</v>
      </c>
      <c r="BD73" s="24">
        <f t="shared" si="96"/>
        <v>0</v>
      </c>
      <c r="BE73" s="24">
        <f t="shared" si="96"/>
        <v>0</v>
      </c>
      <c r="BF73" s="24">
        <f t="shared" si="96"/>
        <v>0</v>
      </c>
      <c r="BG73" s="24">
        <f t="shared" si="96"/>
        <v>0</v>
      </c>
      <c r="BH73" s="24">
        <f t="shared" si="96"/>
        <v>0</v>
      </c>
      <c r="BI73" s="24">
        <f t="shared" si="96"/>
        <v>0</v>
      </c>
      <c r="BJ73" s="24">
        <f t="shared" si="96"/>
        <v>0</v>
      </c>
      <c r="BK73" s="24">
        <f t="shared" si="96"/>
        <v>0</v>
      </c>
      <c r="BL73" s="24">
        <f t="shared" si="96"/>
        <v>0</v>
      </c>
      <c r="BM73" s="24">
        <f t="shared" si="96"/>
        <v>0</v>
      </c>
      <c r="BN73" s="24"/>
      <c r="BO73" s="24"/>
      <c r="BP73" s="24">
        <f t="shared" si="82"/>
        <v>0</v>
      </c>
      <c r="BQ73" s="24">
        <f t="shared" ref="BQ73:BQ92" si="97">+Z73-AV73</f>
        <v>0</v>
      </c>
      <c r="BR73" s="25">
        <f t="shared" si="93"/>
        <v>0</v>
      </c>
      <c r="BS73" s="24">
        <f t="shared" si="84"/>
        <v>0</v>
      </c>
      <c r="BT73" s="24"/>
      <c r="BU73" s="24"/>
      <c r="BV73" s="24"/>
      <c r="BW73" s="24"/>
      <c r="BX73" s="24"/>
      <c r="BY73" s="24"/>
      <c r="BZ73" s="24"/>
      <c r="CA73" s="24"/>
      <c r="CB73" s="24"/>
      <c r="CC73" s="24"/>
      <c r="CD73" s="24"/>
      <c r="CE73" s="24"/>
      <c r="CF73" s="24"/>
      <c r="CG73" s="24"/>
      <c r="CH73" s="24"/>
      <c r="CI73" s="24"/>
      <c r="CJ73" s="24"/>
      <c r="CK73" s="24"/>
      <c r="CL73" s="24"/>
      <c r="CM73" s="24"/>
      <c r="CN73" s="25">
        <f t="shared" si="77"/>
        <v>1</v>
      </c>
      <c r="CO73" s="24">
        <f t="shared" si="85"/>
        <v>10000000</v>
      </c>
      <c r="CP73" s="24">
        <f t="shared" si="86"/>
        <v>0</v>
      </c>
      <c r="CQ73" s="24">
        <f t="shared" si="86"/>
        <v>0</v>
      </c>
      <c r="CR73" s="24">
        <f t="shared" si="86"/>
        <v>0</v>
      </c>
      <c r="CS73" s="24">
        <f t="shared" si="86"/>
        <v>10000000</v>
      </c>
      <c r="CT73" s="24">
        <f t="shared" si="86"/>
        <v>0</v>
      </c>
      <c r="CU73" s="24">
        <f t="shared" si="86"/>
        <v>0</v>
      </c>
      <c r="CV73" s="24">
        <f t="shared" ref="CV73:CX75" si="98">+N73-CA73</f>
        <v>0</v>
      </c>
      <c r="CW73" s="24">
        <f t="shared" si="98"/>
        <v>0</v>
      </c>
      <c r="CX73" s="24">
        <f t="shared" si="98"/>
        <v>0</v>
      </c>
      <c r="CY73" s="24">
        <f t="shared" si="88"/>
        <v>0</v>
      </c>
      <c r="CZ73" s="24">
        <f t="shared" si="88"/>
        <v>0</v>
      </c>
      <c r="DA73" s="24">
        <f t="shared" si="88"/>
        <v>0</v>
      </c>
      <c r="DB73" s="24">
        <f t="shared" ref="DB73:DD84" si="99">+T73-CG73</f>
        <v>0</v>
      </c>
      <c r="DC73" s="24">
        <f t="shared" si="99"/>
        <v>0</v>
      </c>
      <c r="DD73" s="24">
        <f t="shared" si="99"/>
        <v>0</v>
      </c>
      <c r="DE73" s="24"/>
      <c r="DF73" s="24">
        <f t="shared" ref="DF73:DH84" si="100">+X73-CK73</f>
        <v>0</v>
      </c>
      <c r="DG73" s="54">
        <f t="shared" si="100"/>
        <v>0</v>
      </c>
      <c r="DH73" s="24">
        <f t="shared" si="100"/>
        <v>0</v>
      </c>
      <c r="DJ73" s="77"/>
      <c r="DK73" s="77"/>
      <c r="DL73" s="196">
        <f t="shared" si="43"/>
        <v>10000000</v>
      </c>
      <c r="DM73" s="197">
        <f t="shared" si="44"/>
        <v>0</v>
      </c>
      <c r="DN73" s="198">
        <f t="shared" si="72"/>
        <v>0</v>
      </c>
    </row>
    <row r="74" spans="1:118" ht="35.25" hidden="1" customHeight="1" x14ac:dyDescent="0.25">
      <c r="A74" s="229"/>
      <c r="B74" s="243"/>
      <c r="C74" s="20" t="s">
        <v>219</v>
      </c>
      <c r="D74" s="21" t="s">
        <v>220</v>
      </c>
      <c r="E74" s="22">
        <v>520</v>
      </c>
      <c r="F74" s="23" t="s">
        <v>91</v>
      </c>
      <c r="G74" s="24">
        <f t="shared" si="78"/>
        <v>17970750</v>
      </c>
      <c r="H74" s="33"/>
      <c r="I74" s="24"/>
      <c r="J74" s="24"/>
      <c r="K74" s="24">
        <f>20000000-2029250</f>
        <v>17970750</v>
      </c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5">
        <f t="shared" si="92"/>
        <v>1</v>
      </c>
      <c r="AB74" s="24">
        <f t="shared" si="91"/>
        <v>17970750</v>
      </c>
      <c r="AC74" s="24"/>
      <c r="AD74" s="24"/>
      <c r="AE74" s="24"/>
      <c r="AF74" s="24"/>
      <c r="AG74" s="24">
        <f>+'[4]AGOSTO 2016'!$G$2917</f>
        <v>17970750</v>
      </c>
      <c r="AH74" s="24"/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5">
        <f t="shared" si="94"/>
        <v>0</v>
      </c>
      <c r="AX74" s="24">
        <f t="shared" si="79"/>
        <v>0</v>
      </c>
      <c r="AY74" s="24">
        <f t="shared" si="80"/>
        <v>0</v>
      </c>
      <c r="AZ74" s="24">
        <f t="shared" si="80"/>
        <v>0</v>
      </c>
      <c r="BA74" s="24">
        <f t="shared" si="80"/>
        <v>0</v>
      </c>
      <c r="BB74" s="24">
        <f t="shared" si="96"/>
        <v>0</v>
      </c>
      <c r="BC74" s="24">
        <f t="shared" si="96"/>
        <v>0</v>
      </c>
      <c r="BD74" s="24">
        <f t="shared" si="96"/>
        <v>0</v>
      </c>
      <c r="BE74" s="24">
        <f t="shared" si="96"/>
        <v>0</v>
      </c>
      <c r="BF74" s="24">
        <f t="shared" si="96"/>
        <v>0</v>
      </c>
      <c r="BG74" s="24">
        <f t="shared" si="96"/>
        <v>0</v>
      </c>
      <c r="BH74" s="24">
        <f t="shared" si="96"/>
        <v>0</v>
      </c>
      <c r="BI74" s="24">
        <f t="shared" si="96"/>
        <v>0</v>
      </c>
      <c r="BJ74" s="24">
        <f t="shared" si="96"/>
        <v>0</v>
      </c>
      <c r="BK74" s="24">
        <f t="shared" si="96"/>
        <v>0</v>
      </c>
      <c r="BL74" s="24">
        <f t="shared" si="96"/>
        <v>0</v>
      </c>
      <c r="BM74" s="24">
        <f t="shared" si="96"/>
        <v>0</v>
      </c>
      <c r="BN74" s="24"/>
      <c r="BO74" s="24"/>
      <c r="BP74" s="24">
        <f t="shared" si="82"/>
        <v>0</v>
      </c>
      <c r="BQ74" s="24">
        <f t="shared" si="97"/>
        <v>0</v>
      </c>
      <c r="BR74" s="25">
        <f t="shared" si="93"/>
        <v>1</v>
      </c>
      <c r="BS74" s="24">
        <f t="shared" si="84"/>
        <v>17970750</v>
      </c>
      <c r="BT74" s="24"/>
      <c r="BU74" s="24"/>
      <c r="BV74" s="24"/>
      <c r="BW74" s="24"/>
      <c r="BX74" s="24">
        <f>+'[2]ENERO 2016'!$H$769</f>
        <v>17970750</v>
      </c>
      <c r="BY74" s="24"/>
      <c r="BZ74" s="24"/>
      <c r="CA74" s="24"/>
      <c r="CB74" s="24"/>
      <c r="CC74" s="24"/>
      <c r="CD74" s="24"/>
      <c r="CE74" s="24"/>
      <c r="CF74" s="24"/>
      <c r="CG74" s="24"/>
      <c r="CH74" s="24"/>
      <c r="CI74" s="24"/>
      <c r="CJ74" s="24"/>
      <c r="CK74" s="24"/>
      <c r="CL74" s="24"/>
      <c r="CM74" s="24"/>
      <c r="CN74" s="25">
        <f t="shared" si="77"/>
        <v>0</v>
      </c>
      <c r="CO74" s="24">
        <f t="shared" si="85"/>
        <v>0</v>
      </c>
      <c r="CP74" s="24">
        <f t="shared" si="86"/>
        <v>0</v>
      </c>
      <c r="CQ74" s="24">
        <f t="shared" si="86"/>
        <v>0</v>
      </c>
      <c r="CR74" s="24">
        <f t="shared" si="86"/>
        <v>0</v>
      </c>
      <c r="CS74" s="24">
        <f t="shared" si="86"/>
        <v>0</v>
      </c>
      <c r="CT74" s="24">
        <f t="shared" si="86"/>
        <v>0</v>
      </c>
      <c r="CU74" s="24">
        <f t="shared" si="86"/>
        <v>0</v>
      </c>
      <c r="CV74" s="24">
        <f t="shared" si="98"/>
        <v>0</v>
      </c>
      <c r="CW74" s="24">
        <f t="shared" si="98"/>
        <v>0</v>
      </c>
      <c r="CX74" s="24">
        <f t="shared" si="98"/>
        <v>0</v>
      </c>
      <c r="CY74" s="24">
        <f t="shared" si="88"/>
        <v>0</v>
      </c>
      <c r="CZ74" s="24">
        <f t="shared" si="88"/>
        <v>0</v>
      </c>
      <c r="DA74" s="24">
        <f t="shared" si="88"/>
        <v>0</v>
      </c>
      <c r="DB74" s="24">
        <f t="shared" si="99"/>
        <v>0</v>
      </c>
      <c r="DC74" s="24">
        <f t="shared" si="99"/>
        <v>0</v>
      </c>
      <c r="DD74" s="24">
        <f t="shared" si="99"/>
        <v>0</v>
      </c>
      <c r="DE74" s="24"/>
      <c r="DF74" s="24">
        <f t="shared" si="100"/>
        <v>0</v>
      </c>
      <c r="DG74" s="54">
        <f t="shared" si="100"/>
        <v>0</v>
      </c>
      <c r="DH74" s="24">
        <f t="shared" si="100"/>
        <v>0</v>
      </c>
      <c r="DJ74" s="77"/>
      <c r="DK74" s="77"/>
      <c r="DL74" s="196">
        <f t="shared" si="43"/>
        <v>17970750</v>
      </c>
      <c r="DM74" s="197">
        <f t="shared" si="44"/>
        <v>17970750</v>
      </c>
      <c r="DN74" s="198">
        <f t="shared" si="72"/>
        <v>1</v>
      </c>
    </row>
    <row r="75" spans="1:118" ht="33.75" hidden="1" customHeight="1" x14ac:dyDescent="0.25">
      <c r="A75" s="229"/>
      <c r="B75" s="243"/>
      <c r="C75" s="20" t="s">
        <v>221</v>
      </c>
      <c r="D75" s="21" t="s">
        <v>222</v>
      </c>
      <c r="E75" s="22">
        <v>520</v>
      </c>
      <c r="F75" s="23" t="s">
        <v>76</v>
      </c>
      <c r="G75" s="24">
        <f t="shared" si="78"/>
        <v>1000000</v>
      </c>
      <c r="H75" s="33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>
        <f>3000000-2000000</f>
        <v>1000000</v>
      </c>
      <c r="AA75" s="25">
        <f t="shared" si="92"/>
        <v>1</v>
      </c>
      <c r="AB75" s="24">
        <f t="shared" si="91"/>
        <v>1000000</v>
      </c>
      <c r="AC75" s="24"/>
      <c r="AD75" s="24"/>
      <c r="AE75" s="24"/>
      <c r="AF75" s="24"/>
      <c r="AG75" s="24"/>
      <c r="AH75" s="24"/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>
        <f>+'[8]ABRIL 2016'!$G$1547</f>
        <v>1000000</v>
      </c>
      <c r="AW75" s="25">
        <f t="shared" si="94"/>
        <v>0</v>
      </c>
      <c r="AX75" s="24">
        <f t="shared" si="79"/>
        <v>0</v>
      </c>
      <c r="AY75" s="24">
        <f t="shared" si="80"/>
        <v>0</v>
      </c>
      <c r="AZ75" s="24">
        <f t="shared" si="80"/>
        <v>0</v>
      </c>
      <c r="BA75" s="24">
        <f t="shared" si="80"/>
        <v>0</v>
      </c>
      <c r="BB75" s="24">
        <f t="shared" si="96"/>
        <v>0</v>
      </c>
      <c r="BC75" s="24">
        <f t="shared" si="96"/>
        <v>0</v>
      </c>
      <c r="BD75" s="24">
        <f t="shared" si="96"/>
        <v>0</v>
      </c>
      <c r="BE75" s="24">
        <f t="shared" si="96"/>
        <v>0</v>
      </c>
      <c r="BF75" s="24">
        <f t="shared" si="96"/>
        <v>0</v>
      </c>
      <c r="BG75" s="24">
        <f t="shared" si="96"/>
        <v>0</v>
      </c>
      <c r="BH75" s="24">
        <f t="shared" si="96"/>
        <v>0</v>
      </c>
      <c r="BI75" s="24">
        <f t="shared" si="96"/>
        <v>0</v>
      </c>
      <c r="BJ75" s="24">
        <f t="shared" si="96"/>
        <v>0</v>
      </c>
      <c r="BK75" s="24">
        <f t="shared" si="96"/>
        <v>0</v>
      </c>
      <c r="BL75" s="24">
        <f t="shared" si="96"/>
        <v>0</v>
      </c>
      <c r="BM75" s="24">
        <f t="shared" si="96"/>
        <v>0</v>
      </c>
      <c r="BN75" s="24"/>
      <c r="BO75" s="24"/>
      <c r="BP75" s="24">
        <f t="shared" si="82"/>
        <v>0</v>
      </c>
      <c r="BQ75" s="24">
        <f t="shared" si="97"/>
        <v>0</v>
      </c>
      <c r="BR75" s="25">
        <f t="shared" si="93"/>
        <v>1</v>
      </c>
      <c r="BS75" s="24">
        <f t="shared" si="84"/>
        <v>1000000</v>
      </c>
      <c r="BT75" s="24"/>
      <c r="BU75" s="24"/>
      <c r="BV75" s="24"/>
      <c r="BW75" s="24"/>
      <c r="BX75" s="24"/>
      <c r="BY75" s="24"/>
      <c r="BZ75" s="24"/>
      <c r="CA75" s="24"/>
      <c r="CB75" s="24"/>
      <c r="CC75" s="24"/>
      <c r="CD75" s="24"/>
      <c r="CE75" s="24"/>
      <c r="CF75" s="24"/>
      <c r="CG75" s="24"/>
      <c r="CH75" s="24"/>
      <c r="CI75" s="24"/>
      <c r="CJ75" s="24"/>
      <c r="CK75" s="24"/>
      <c r="CL75" s="24"/>
      <c r="CM75" s="24">
        <f>+'[8]ABRIL 2016'!$H$1547</f>
        <v>1000000</v>
      </c>
      <c r="CN75" s="25">
        <f t="shared" si="77"/>
        <v>0</v>
      </c>
      <c r="CO75" s="24">
        <f t="shared" si="85"/>
        <v>0</v>
      </c>
      <c r="CP75" s="24">
        <f t="shared" si="86"/>
        <v>0</v>
      </c>
      <c r="CQ75" s="24">
        <f t="shared" si="86"/>
        <v>0</v>
      </c>
      <c r="CR75" s="24">
        <f t="shared" si="86"/>
        <v>0</v>
      </c>
      <c r="CS75" s="24">
        <f t="shared" si="86"/>
        <v>0</v>
      </c>
      <c r="CT75" s="24">
        <f t="shared" si="86"/>
        <v>0</v>
      </c>
      <c r="CU75" s="24">
        <f t="shared" si="86"/>
        <v>0</v>
      </c>
      <c r="CV75" s="24">
        <f t="shared" si="98"/>
        <v>0</v>
      </c>
      <c r="CW75" s="24">
        <f t="shared" si="98"/>
        <v>0</v>
      </c>
      <c r="CX75" s="24">
        <f t="shared" si="98"/>
        <v>0</v>
      </c>
      <c r="CY75" s="24">
        <f t="shared" si="88"/>
        <v>0</v>
      </c>
      <c r="CZ75" s="24">
        <f t="shared" si="88"/>
        <v>0</v>
      </c>
      <c r="DA75" s="24">
        <f t="shared" si="88"/>
        <v>0</v>
      </c>
      <c r="DB75" s="24">
        <f t="shared" si="99"/>
        <v>0</v>
      </c>
      <c r="DC75" s="24">
        <f t="shared" si="99"/>
        <v>0</v>
      </c>
      <c r="DD75" s="24">
        <f t="shared" si="99"/>
        <v>0</v>
      </c>
      <c r="DE75" s="24"/>
      <c r="DF75" s="24">
        <f t="shared" si="100"/>
        <v>0</v>
      </c>
      <c r="DG75" s="54">
        <f t="shared" si="100"/>
        <v>0</v>
      </c>
      <c r="DH75" s="24">
        <f t="shared" si="100"/>
        <v>0</v>
      </c>
      <c r="DJ75" s="77"/>
      <c r="DK75" s="77"/>
      <c r="DL75" s="196">
        <f t="shared" si="43"/>
        <v>1000000</v>
      </c>
      <c r="DM75" s="197">
        <f t="shared" si="44"/>
        <v>1000000</v>
      </c>
      <c r="DN75" s="198">
        <f t="shared" si="72"/>
        <v>1</v>
      </c>
    </row>
    <row r="76" spans="1:118" ht="33" hidden="1" customHeight="1" x14ac:dyDescent="0.25">
      <c r="A76" s="229"/>
      <c r="B76" s="243"/>
      <c r="C76" s="20" t="s">
        <v>223</v>
      </c>
      <c r="D76" s="21" t="s">
        <v>224</v>
      </c>
      <c r="E76" s="22">
        <v>520</v>
      </c>
      <c r="F76" s="23" t="s">
        <v>91</v>
      </c>
      <c r="G76" s="24">
        <f t="shared" si="78"/>
        <v>0</v>
      </c>
      <c r="H76" s="33"/>
      <c r="I76" s="24"/>
      <c r="J76" s="24"/>
      <c r="K76" s="24">
        <f>5000000-5000000</f>
        <v>0</v>
      </c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5" t="e">
        <f t="shared" si="92"/>
        <v>#DIV/0!</v>
      </c>
      <c r="AB76" s="24">
        <f t="shared" si="91"/>
        <v>0</v>
      </c>
      <c r="AC76" s="24"/>
      <c r="AD76" s="24"/>
      <c r="AE76" s="24"/>
      <c r="AF76" s="24"/>
      <c r="AG76" s="24"/>
      <c r="AH76" s="24"/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5" t="e">
        <f t="shared" si="94"/>
        <v>#DIV/0!</v>
      </c>
      <c r="AX76" s="24">
        <f t="shared" si="79"/>
        <v>0</v>
      </c>
      <c r="AY76" s="24">
        <f t="shared" si="80"/>
        <v>0</v>
      </c>
      <c r="AZ76" s="24">
        <f t="shared" si="80"/>
        <v>0</v>
      </c>
      <c r="BA76" s="24">
        <f t="shared" si="80"/>
        <v>0</v>
      </c>
      <c r="BB76" s="24">
        <f t="shared" si="96"/>
        <v>0</v>
      </c>
      <c r="BC76" s="24"/>
      <c r="BD76" s="24"/>
      <c r="BE76" s="24"/>
      <c r="BF76" s="24"/>
      <c r="BG76" s="24"/>
      <c r="BH76" s="24">
        <f t="shared" si="96"/>
        <v>0</v>
      </c>
      <c r="BI76" s="24">
        <f t="shared" si="96"/>
        <v>0</v>
      </c>
      <c r="BJ76" s="24">
        <f t="shared" si="96"/>
        <v>0</v>
      </c>
      <c r="BK76" s="24"/>
      <c r="BL76" s="24">
        <f t="shared" si="96"/>
        <v>0</v>
      </c>
      <c r="BM76" s="24">
        <f t="shared" si="96"/>
        <v>0</v>
      </c>
      <c r="BN76" s="24"/>
      <c r="BO76" s="24"/>
      <c r="BP76" s="24">
        <f t="shared" si="82"/>
        <v>0</v>
      </c>
      <c r="BQ76" s="24">
        <f t="shared" si="97"/>
        <v>0</v>
      </c>
      <c r="BR76" s="25" t="e">
        <f t="shared" si="93"/>
        <v>#DIV/0!</v>
      </c>
      <c r="BS76" s="24">
        <f t="shared" si="84"/>
        <v>0</v>
      </c>
      <c r="BT76" s="24"/>
      <c r="BU76" s="24"/>
      <c r="BV76" s="24"/>
      <c r="BW76" s="24"/>
      <c r="BX76" s="24"/>
      <c r="BY76" s="24"/>
      <c r="BZ76" s="24"/>
      <c r="CA76" s="24"/>
      <c r="CB76" s="24"/>
      <c r="CC76" s="24"/>
      <c r="CD76" s="24"/>
      <c r="CE76" s="24"/>
      <c r="CF76" s="24"/>
      <c r="CG76" s="24"/>
      <c r="CH76" s="24"/>
      <c r="CI76" s="24"/>
      <c r="CJ76" s="24"/>
      <c r="CK76" s="24"/>
      <c r="CL76" s="24"/>
      <c r="CM76" s="24"/>
      <c r="CN76" s="25" t="e">
        <f t="shared" si="77"/>
        <v>#DIV/0!</v>
      </c>
      <c r="CO76" s="24">
        <f t="shared" si="85"/>
        <v>0</v>
      </c>
      <c r="CP76" s="24">
        <f t="shared" si="86"/>
        <v>0</v>
      </c>
      <c r="CQ76" s="24">
        <f t="shared" si="86"/>
        <v>0</v>
      </c>
      <c r="CR76" s="24">
        <f t="shared" si="86"/>
        <v>0</v>
      </c>
      <c r="CS76" s="24">
        <f t="shared" si="86"/>
        <v>0</v>
      </c>
      <c r="CT76" s="24"/>
      <c r="CU76" s="24"/>
      <c r="CV76" s="24"/>
      <c r="CW76" s="24"/>
      <c r="CX76" s="24"/>
      <c r="CY76" s="24">
        <f t="shared" si="88"/>
        <v>0</v>
      </c>
      <c r="CZ76" s="24">
        <f t="shared" si="88"/>
        <v>0</v>
      </c>
      <c r="DA76" s="24">
        <f t="shared" si="88"/>
        <v>0</v>
      </c>
      <c r="DB76" s="24">
        <f t="shared" si="99"/>
        <v>0</v>
      </c>
      <c r="DC76" s="24">
        <f t="shared" si="99"/>
        <v>0</v>
      </c>
      <c r="DD76" s="24">
        <f t="shared" si="99"/>
        <v>0</v>
      </c>
      <c r="DE76" s="24"/>
      <c r="DF76" s="24"/>
      <c r="DG76" s="54"/>
      <c r="DH76" s="24">
        <f t="shared" si="100"/>
        <v>0</v>
      </c>
      <c r="DJ76" s="77"/>
      <c r="DK76" s="77"/>
      <c r="DL76" s="196">
        <f t="shared" si="43"/>
        <v>0</v>
      </c>
      <c r="DM76" s="197">
        <f t="shared" si="44"/>
        <v>0</v>
      </c>
      <c r="DN76" s="198" t="e">
        <f t="shared" si="72"/>
        <v>#DIV/0!</v>
      </c>
    </row>
    <row r="77" spans="1:118" ht="22.5" hidden="1" customHeight="1" x14ac:dyDescent="0.25">
      <c r="A77" s="229"/>
      <c r="B77" s="243"/>
      <c r="C77" s="20" t="s">
        <v>225</v>
      </c>
      <c r="D77" s="21" t="s">
        <v>226</v>
      </c>
      <c r="E77" s="22">
        <v>520</v>
      </c>
      <c r="F77" s="23" t="s">
        <v>91</v>
      </c>
      <c r="G77" s="24">
        <f t="shared" si="78"/>
        <v>0</v>
      </c>
      <c r="H77" s="33"/>
      <c r="I77" s="24"/>
      <c r="J77" s="24"/>
      <c r="K77" s="24">
        <f>5000000-5000000</f>
        <v>0</v>
      </c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5" t="e">
        <f t="shared" si="92"/>
        <v>#DIV/0!</v>
      </c>
      <c r="AB77" s="24">
        <f t="shared" si="91"/>
        <v>0</v>
      </c>
      <c r="AC77" s="24"/>
      <c r="AD77" s="24"/>
      <c r="AE77" s="24"/>
      <c r="AF77" s="24"/>
      <c r="AG77" s="24"/>
      <c r="AH77" s="24"/>
      <c r="AI77" s="24"/>
      <c r="AJ77" s="24"/>
      <c r="AK77" s="24"/>
      <c r="AL77" s="24"/>
      <c r="AM77" s="24"/>
      <c r="AN77" s="24"/>
      <c r="AO77" s="24"/>
      <c r="AP77" s="24"/>
      <c r="AQ77" s="24"/>
      <c r="AR77" s="24"/>
      <c r="AS77" s="24"/>
      <c r="AT77" s="24"/>
      <c r="AU77" s="24"/>
      <c r="AV77" s="24"/>
      <c r="AW77" s="25" t="e">
        <f t="shared" si="94"/>
        <v>#DIV/0!</v>
      </c>
      <c r="AX77" s="24">
        <f t="shared" si="79"/>
        <v>0</v>
      </c>
      <c r="AY77" s="24">
        <f t="shared" si="80"/>
        <v>0</v>
      </c>
      <c r="AZ77" s="24">
        <f t="shared" si="80"/>
        <v>0</v>
      </c>
      <c r="BA77" s="24">
        <f t="shared" si="80"/>
        <v>0</v>
      </c>
      <c r="BB77" s="24">
        <f t="shared" si="96"/>
        <v>0</v>
      </c>
      <c r="BC77" s="24"/>
      <c r="BD77" s="24"/>
      <c r="BE77" s="24"/>
      <c r="BF77" s="24"/>
      <c r="BG77" s="24"/>
      <c r="BH77" s="24">
        <f t="shared" si="96"/>
        <v>0</v>
      </c>
      <c r="BI77" s="24">
        <f t="shared" si="96"/>
        <v>0</v>
      </c>
      <c r="BJ77" s="24">
        <f t="shared" si="96"/>
        <v>0</v>
      </c>
      <c r="BK77" s="24"/>
      <c r="BL77" s="24">
        <f t="shared" si="96"/>
        <v>0</v>
      </c>
      <c r="BM77" s="24">
        <f t="shared" si="96"/>
        <v>0</v>
      </c>
      <c r="BN77" s="24"/>
      <c r="BO77" s="24"/>
      <c r="BP77" s="24">
        <f t="shared" si="82"/>
        <v>0</v>
      </c>
      <c r="BQ77" s="24">
        <f t="shared" si="97"/>
        <v>0</v>
      </c>
      <c r="BR77" s="25" t="e">
        <f t="shared" si="93"/>
        <v>#DIV/0!</v>
      </c>
      <c r="BS77" s="24">
        <f t="shared" si="84"/>
        <v>0</v>
      </c>
      <c r="BT77" s="24"/>
      <c r="BU77" s="24"/>
      <c r="BV77" s="24"/>
      <c r="BW77" s="24"/>
      <c r="BX77" s="24"/>
      <c r="BY77" s="24"/>
      <c r="BZ77" s="24"/>
      <c r="CA77" s="24"/>
      <c r="CB77" s="24"/>
      <c r="CC77" s="24"/>
      <c r="CD77" s="24"/>
      <c r="CE77" s="24"/>
      <c r="CF77" s="24"/>
      <c r="CG77" s="24"/>
      <c r="CH77" s="24"/>
      <c r="CI77" s="24"/>
      <c r="CJ77" s="24"/>
      <c r="CK77" s="24"/>
      <c r="CL77" s="24"/>
      <c r="CM77" s="24"/>
      <c r="CN77" s="25" t="e">
        <f t="shared" si="77"/>
        <v>#DIV/0!</v>
      </c>
      <c r="CO77" s="24">
        <f t="shared" si="85"/>
        <v>0</v>
      </c>
      <c r="CP77" s="24">
        <f t="shared" ref="CP77:CU92" si="101">H77-BU77</f>
        <v>0</v>
      </c>
      <c r="CQ77" s="24">
        <f t="shared" si="101"/>
        <v>0</v>
      </c>
      <c r="CR77" s="24">
        <f t="shared" si="101"/>
        <v>0</v>
      </c>
      <c r="CS77" s="24">
        <f t="shared" si="101"/>
        <v>0</v>
      </c>
      <c r="CT77" s="24"/>
      <c r="CU77" s="24"/>
      <c r="CV77" s="24"/>
      <c r="CW77" s="24"/>
      <c r="CX77" s="24"/>
      <c r="CY77" s="24">
        <f t="shared" si="88"/>
        <v>0</v>
      </c>
      <c r="CZ77" s="24">
        <f t="shared" si="88"/>
        <v>0</v>
      </c>
      <c r="DA77" s="24">
        <f t="shared" si="88"/>
        <v>0</v>
      </c>
      <c r="DB77" s="24">
        <f t="shared" si="99"/>
        <v>0</v>
      </c>
      <c r="DC77" s="24">
        <f t="shared" si="99"/>
        <v>0</v>
      </c>
      <c r="DD77" s="24">
        <f t="shared" si="99"/>
        <v>0</v>
      </c>
      <c r="DE77" s="24"/>
      <c r="DF77" s="24"/>
      <c r="DG77" s="54"/>
      <c r="DH77" s="24">
        <f t="shared" si="100"/>
        <v>0</v>
      </c>
      <c r="DJ77" s="77"/>
      <c r="DK77" s="77"/>
      <c r="DL77" s="196">
        <f t="shared" si="43"/>
        <v>0</v>
      </c>
      <c r="DM77" s="197">
        <f t="shared" si="44"/>
        <v>0</v>
      </c>
      <c r="DN77" s="198" t="e">
        <f t="shared" si="72"/>
        <v>#DIV/0!</v>
      </c>
    </row>
    <row r="78" spans="1:118" ht="21" hidden="1" customHeight="1" x14ac:dyDescent="0.25">
      <c r="A78" s="229"/>
      <c r="B78" s="243"/>
      <c r="C78" s="20" t="s">
        <v>227</v>
      </c>
      <c r="D78" s="21" t="s">
        <v>228</v>
      </c>
      <c r="E78" s="22">
        <v>520</v>
      </c>
      <c r="F78" s="23" t="s">
        <v>91</v>
      </c>
      <c r="G78" s="24">
        <f t="shared" si="78"/>
        <v>27029250</v>
      </c>
      <c r="H78" s="33"/>
      <c r="I78" s="24"/>
      <c r="J78" s="24"/>
      <c r="K78" s="24">
        <f>5000000+10000000+12029250</f>
        <v>27029250</v>
      </c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5">
        <f t="shared" si="92"/>
        <v>0.99725575071450379</v>
      </c>
      <c r="AB78" s="24">
        <f t="shared" si="91"/>
        <v>26955075</v>
      </c>
      <c r="AC78" s="24"/>
      <c r="AD78" s="24"/>
      <c r="AE78" s="24"/>
      <c r="AF78" s="24"/>
      <c r="AG78" s="24">
        <f>+'[1]SEPTIEMBRE 2016'!$O$3457</f>
        <v>26955075</v>
      </c>
      <c r="AH78" s="24"/>
      <c r="AI78" s="24"/>
      <c r="AJ78" s="24"/>
      <c r="AK78" s="24"/>
      <c r="AL78" s="24"/>
      <c r="AM78" s="24"/>
      <c r="AN78" s="24"/>
      <c r="AO78" s="24"/>
      <c r="AP78" s="24"/>
      <c r="AQ78" s="24"/>
      <c r="AR78" s="24"/>
      <c r="AS78" s="24"/>
      <c r="AT78" s="24"/>
      <c r="AU78" s="24"/>
      <c r="AV78" s="24"/>
      <c r="AW78" s="25">
        <f t="shared" si="94"/>
        <v>2.7442492854962142E-3</v>
      </c>
      <c r="AX78" s="24">
        <f t="shared" si="79"/>
        <v>74175</v>
      </c>
      <c r="AY78" s="24">
        <f t="shared" si="80"/>
        <v>0</v>
      </c>
      <c r="AZ78" s="24">
        <f t="shared" si="80"/>
        <v>0</v>
      </c>
      <c r="BA78" s="24">
        <f t="shared" si="80"/>
        <v>0</v>
      </c>
      <c r="BB78" s="24">
        <f t="shared" si="96"/>
        <v>74175</v>
      </c>
      <c r="BC78" s="24"/>
      <c r="BD78" s="24"/>
      <c r="BE78" s="24"/>
      <c r="BF78" s="24"/>
      <c r="BG78" s="24"/>
      <c r="BH78" s="24">
        <f t="shared" si="96"/>
        <v>0</v>
      </c>
      <c r="BI78" s="24">
        <f t="shared" si="96"/>
        <v>0</v>
      </c>
      <c r="BJ78" s="24">
        <f t="shared" si="96"/>
        <v>0</v>
      </c>
      <c r="BK78" s="24">
        <f t="shared" si="96"/>
        <v>0</v>
      </c>
      <c r="BL78" s="24">
        <f t="shared" si="96"/>
        <v>0</v>
      </c>
      <c r="BM78" s="24">
        <f t="shared" si="96"/>
        <v>0</v>
      </c>
      <c r="BN78" s="24"/>
      <c r="BO78" s="24"/>
      <c r="BP78" s="24">
        <f t="shared" si="82"/>
        <v>0</v>
      </c>
      <c r="BQ78" s="24">
        <f t="shared" si="97"/>
        <v>0</v>
      </c>
      <c r="BR78" s="25">
        <f t="shared" si="93"/>
        <v>0.99725575071450379</v>
      </c>
      <c r="BS78" s="24">
        <f t="shared" si="84"/>
        <v>26955075</v>
      </c>
      <c r="BT78" s="24"/>
      <c r="BU78" s="24"/>
      <c r="BV78" s="24"/>
      <c r="BW78" s="24"/>
      <c r="BX78" s="24">
        <f>+'[1]SEPTIEMBRE 2016'!$H$3455</f>
        <v>26955075</v>
      </c>
      <c r="BY78" s="24"/>
      <c r="BZ78" s="24"/>
      <c r="CA78" s="24"/>
      <c r="CB78" s="24"/>
      <c r="CC78" s="24"/>
      <c r="CD78" s="24"/>
      <c r="CE78" s="24"/>
      <c r="CF78" s="24"/>
      <c r="CG78" s="24"/>
      <c r="CH78" s="24"/>
      <c r="CI78" s="24"/>
      <c r="CJ78" s="24"/>
      <c r="CK78" s="24"/>
      <c r="CL78" s="24"/>
      <c r="CM78" s="24"/>
      <c r="CN78" s="25">
        <f t="shared" si="77"/>
        <v>2.7442492854962142E-3</v>
      </c>
      <c r="CO78" s="24">
        <f t="shared" si="85"/>
        <v>74175</v>
      </c>
      <c r="CP78" s="24">
        <f t="shared" si="101"/>
        <v>0</v>
      </c>
      <c r="CQ78" s="24">
        <f t="shared" si="101"/>
        <v>0</v>
      </c>
      <c r="CR78" s="24">
        <f t="shared" si="101"/>
        <v>0</v>
      </c>
      <c r="CS78" s="24">
        <f t="shared" si="101"/>
        <v>74175</v>
      </c>
      <c r="CT78" s="24"/>
      <c r="CU78" s="24"/>
      <c r="CV78" s="24"/>
      <c r="CW78" s="24"/>
      <c r="CX78" s="24"/>
      <c r="CY78" s="24">
        <f t="shared" si="88"/>
        <v>0</v>
      </c>
      <c r="CZ78" s="24">
        <f t="shared" si="88"/>
        <v>0</v>
      </c>
      <c r="DA78" s="24">
        <f t="shared" si="88"/>
        <v>0</v>
      </c>
      <c r="DB78" s="24">
        <f t="shared" si="99"/>
        <v>0</v>
      </c>
      <c r="DC78" s="24">
        <f t="shared" si="99"/>
        <v>0</v>
      </c>
      <c r="DD78" s="24">
        <f t="shared" si="99"/>
        <v>0</v>
      </c>
      <c r="DE78" s="24"/>
      <c r="DF78" s="24"/>
      <c r="DG78" s="54"/>
      <c r="DH78" s="24">
        <f t="shared" si="100"/>
        <v>0</v>
      </c>
      <c r="DJ78" s="77"/>
      <c r="DK78" s="77"/>
      <c r="DL78" s="196">
        <f t="shared" si="43"/>
        <v>27029250</v>
      </c>
      <c r="DM78" s="197">
        <f t="shared" si="44"/>
        <v>26955075</v>
      </c>
      <c r="DN78" s="198">
        <f t="shared" si="72"/>
        <v>0.99725575071450379</v>
      </c>
    </row>
    <row r="79" spans="1:118" ht="21.75" hidden="1" customHeight="1" x14ac:dyDescent="0.25">
      <c r="A79" s="229"/>
      <c r="B79" s="244"/>
      <c r="C79" s="20" t="s">
        <v>229</v>
      </c>
      <c r="D79" s="21" t="s">
        <v>230</v>
      </c>
      <c r="E79" s="22">
        <v>520</v>
      </c>
      <c r="F79" s="23" t="s">
        <v>91</v>
      </c>
      <c r="G79" s="24">
        <f t="shared" si="78"/>
        <v>5000000</v>
      </c>
      <c r="H79" s="33"/>
      <c r="I79" s="24"/>
      <c r="J79" s="24"/>
      <c r="K79" s="24">
        <v>5000000</v>
      </c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5">
        <f t="shared" si="92"/>
        <v>0.74168699999999999</v>
      </c>
      <c r="AB79" s="24">
        <f t="shared" si="91"/>
        <v>3708435</v>
      </c>
      <c r="AC79" s="24"/>
      <c r="AD79" s="24"/>
      <c r="AE79" s="24"/>
      <c r="AF79" s="24"/>
      <c r="AG79" s="24">
        <f>+'[4]AGOSTO 2016'!$O$2947</f>
        <v>3708435</v>
      </c>
      <c r="AH79" s="24"/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  <c r="AU79" s="24"/>
      <c r="AV79" s="24"/>
      <c r="AW79" s="25">
        <f t="shared" si="94"/>
        <v>0.25831300000000001</v>
      </c>
      <c r="AX79" s="24">
        <f t="shared" si="79"/>
        <v>1291565</v>
      </c>
      <c r="AY79" s="24">
        <f t="shared" si="80"/>
        <v>0</v>
      </c>
      <c r="AZ79" s="24">
        <f t="shared" si="80"/>
        <v>0</v>
      </c>
      <c r="BA79" s="24">
        <f t="shared" si="80"/>
        <v>0</v>
      </c>
      <c r="BB79" s="24">
        <f t="shared" si="96"/>
        <v>1291565</v>
      </c>
      <c r="BC79" s="24"/>
      <c r="BD79" s="24"/>
      <c r="BE79" s="24"/>
      <c r="BF79" s="24"/>
      <c r="BG79" s="24"/>
      <c r="BH79" s="24">
        <f t="shared" si="96"/>
        <v>0</v>
      </c>
      <c r="BI79" s="24">
        <f t="shared" si="96"/>
        <v>0</v>
      </c>
      <c r="BJ79" s="24">
        <f t="shared" si="96"/>
        <v>0</v>
      </c>
      <c r="BK79" s="24">
        <f t="shared" si="96"/>
        <v>0</v>
      </c>
      <c r="BL79" s="24">
        <f t="shared" si="96"/>
        <v>0</v>
      </c>
      <c r="BM79" s="24">
        <f t="shared" si="96"/>
        <v>0</v>
      </c>
      <c r="BN79" s="24"/>
      <c r="BO79" s="24"/>
      <c r="BP79" s="24">
        <f t="shared" si="82"/>
        <v>0</v>
      </c>
      <c r="BQ79" s="24">
        <f t="shared" si="97"/>
        <v>0</v>
      </c>
      <c r="BR79" s="25">
        <f t="shared" si="93"/>
        <v>0.74168699999999999</v>
      </c>
      <c r="BS79" s="24">
        <f t="shared" si="84"/>
        <v>3708435</v>
      </c>
      <c r="BT79" s="24"/>
      <c r="BU79" s="24"/>
      <c r="BV79" s="24"/>
      <c r="BW79" s="24"/>
      <c r="BX79" s="24">
        <f>+'[4]AGOSTO 2016'!$H$2945</f>
        <v>3708435</v>
      </c>
      <c r="BY79" s="24"/>
      <c r="BZ79" s="24"/>
      <c r="CA79" s="24"/>
      <c r="CB79" s="24"/>
      <c r="CC79" s="24"/>
      <c r="CD79" s="24"/>
      <c r="CE79" s="24"/>
      <c r="CF79" s="24"/>
      <c r="CG79" s="24"/>
      <c r="CH79" s="24"/>
      <c r="CI79" s="24"/>
      <c r="CJ79" s="24"/>
      <c r="CK79" s="24"/>
      <c r="CL79" s="24"/>
      <c r="CM79" s="24"/>
      <c r="CN79" s="25">
        <f t="shared" si="77"/>
        <v>0.25831300000000001</v>
      </c>
      <c r="CO79" s="24">
        <f t="shared" si="85"/>
        <v>1291565</v>
      </c>
      <c r="CP79" s="24">
        <f t="shared" si="101"/>
        <v>0</v>
      </c>
      <c r="CQ79" s="24">
        <f t="shared" si="101"/>
        <v>0</v>
      </c>
      <c r="CR79" s="24">
        <f t="shared" si="101"/>
        <v>0</v>
      </c>
      <c r="CS79" s="24">
        <f t="shared" si="101"/>
        <v>1291565</v>
      </c>
      <c r="CT79" s="24"/>
      <c r="CU79" s="24"/>
      <c r="CV79" s="24"/>
      <c r="CW79" s="24"/>
      <c r="CX79" s="24"/>
      <c r="CY79" s="24">
        <f t="shared" si="88"/>
        <v>0</v>
      </c>
      <c r="CZ79" s="24">
        <f t="shared" si="88"/>
        <v>0</v>
      </c>
      <c r="DA79" s="24">
        <f t="shared" si="88"/>
        <v>0</v>
      </c>
      <c r="DB79" s="24">
        <f t="shared" si="99"/>
        <v>0</v>
      </c>
      <c r="DC79" s="24">
        <f t="shared" si="99"/>
        <v>0</v>
      </c>
      <c r="DD79" s="24">
        <f t="shared" si="99"/>
        <v>0</v>
      </c>
      <c r="DE79" s="24"/>
      <c r="DF79" s="24"/>
      <c r="DG79" s="54"/>
      <c r="DH79" s="24">
        <f t="shared" si="100"/>
        <v>0</v>
      </c>
      <c r="DJ79" s="77"/>
      <c r="DK79" s="77"/>
      <c r="DL79" s="196">
        <f t="shared" si="43"/>
        <v>5000000</v>
      </c>
      <c r="DM79" s="197">
        <f t="shared" si="44"/>
        <v>3708435</v>
      </c>
      <c r="DN79" s="198">
        <f t="shared" si="72"/>
        <v>0.74168699999999999</v>
      </c>
    </row>
    <row r="80" spans="1:118" ht="34.5" hidden="1" customHeight="1" x14ac:dyDescent="0.25">
      <c r="A80" s="229"/>
      <c r="B80" s="231" t="s">
        <v>231</v>
      </c>
      <c r="C80" s="20" t="s">
        <v>232</v>
      </c>
      <c r="D80" s="21" t="s">
        <v>233</v>
      </c>
      <c r="E80" s="22">
        <v>520</v>
      </c>
      <c r="F80" s="23" t="s">
        <v>91</v>
      </c>
      <c r="G80" s="24">
        <f t="shared" si="78"/>
        <v>10000000</v>
      </c>
      <c r="H80" s="33"/>
      <c r="I80" s="24"/>
      <c r="J80" s="24"/>
      <c r="K80" s="24">
        <v>10000000</v>
      </c>
      <c r="L80" s="24"/>
      <c r="M80" s="24"/>
      <c r="N80" s="24"/>
      <c r="O80" s="24"/>
      <c r="P80" s="24"/>
      <c r="Q80" s="24"/>
      <c r="R80" s="24"/>
      <c r="S80" s="45"/>
      <c r="T80" s="24"/>
      <c r="U80" s="24"/>
      <c r="V80" s="24"/>
      <c r="W80" s="24"/>
      <c r="X80" s="24"/>
      <c r="Y80" s="24"/>
      <c r="Z80" s="24"/>
      <c r="AA80" s="25">
        <f t="shared" si="92"/>
        <v>1</v>
      </c>
      <c r="AB80" s="24">
        <f t="shared" si="91"/>
        <v>10000000</v>
      </c>
      <c r="AC80" s="24"/>
      <c r="AD80" s="24"/>
      <c r="AE80" s="24"/>
      <c r="AF80" s="24"/>
      <c r="AG80" s="24">
        <f>+'[5]JULIO 2016'!$O$2299</f>
        <v>10000000</v>
      </c>
      <c r="AH80" s="24"/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  <c r="AW80" s="25">
        <f t="shared" si="94"/>
        <v>0</v>
      </c>
      <c r="AX80" s="24">
        <f t="shared" si="79"/>
        <v>0</v>
      </c>
      <c r="AY80" s="24">
        <f t="shared" si="80"/>
        <v>0</v>
      </c>
      <c r="AZ80" s="24">
        <f t="shared" si="80"/>
        <v>0</v>
      </c>
      <c r="BA80" s="24">
        <f t="shared" si="80"/>
        <v>0</v>
      </c>
      <c r="BB80" s="24">
        <f t="shared" si="96"/>
        <v>0</v>
      </c>
      <c r="BC80" s="24">
        <f t="shared" si="96"/>
        <v>0</v>
      </c>
      <c r="BD80" s="24">
        <f t="shared" si="96"/>
        <v>0</v>
      </c>
      <c r="BE80" s="24">
        <f t="shared" si="96"/>
        <v>0</v>
      </c>
      <c r="BF80" s="24">
        <f t="shared" si="96"/>
        <v>0</v>
      </c>
      <c r="BG80" s="24">
        <f t="shared" si="96"/>
        <v>0</v>
      </c>
      <c r="BH80" s="24">
        <f t="shared" si="96"/>
        <v>0</v>
      </c>
      <c r="BI80" s="24">
        <f t="shared" si="96"/>
        <v>0</v>
      </c>
      <c r="BJ80" s="24">
        <f t="shared" si="96"/>
        <v>0</v>
      </c>
      <c r="BK80" s="24">
        <f t="shared" si="96"/>
        <v>0</v>
      </c>
      <c r="BL80" s="24">
        <f t="shared" si="96"/>
        <v>0</v>
      </c>
      <c r="BM80" s="24">
        <f t="shared" si="96"/>
        <v>0</v>
      </c>
      <c r="BN80" s="24"/>
      <c r="BO80" s="24"/>
      <c r="BP80" s="24">
        <f t="shared" si="82"/>
        <v>0</v>
      </c>
      <c r="BQ80" s="24">
        <f t="shared" si="97"/>
        <v>0</v>
      </c>
      <c r="BR80" s="25">
        <f t="shared" si="93"/>
        <v>1</v>
      </c>
      <c r="BS80" s="24">
        <f t="shared" si="84"/>
        <v>10000000</v>
      </c>
      <c r="BT80" s="24"/>
      <c r="BU80" s="24"/>
      <c r="BV80" s="24"/>
      <c r="BW80" s="24"/>
      <c r="BX80" s="24">
        <f>+'[5]JULIO 2016'!$H$2297</f>
        <v>10000000</v>
      </c>
      <c r="BY80" s="24"/>
      <c r="BZ80" s="24"/>
      <c r="CA80" s="24"/>
      <c r="CB80" s="24"/>
      <c r="CC80" s="24"/>
      <c r="CD80" s="24"/>
      <c r="CE80" s="24"/>
      <c r="CF80" s="24"/>
      <c r="CG80" s="24"/>
      <c r="CH80" s="24"/>
      <c r="CI80" s="24"/>
      <c r="CJ80" s="24"/>
      <c r="CK80" s="24"/>
      <c r="CL80" s="24"/>
      <c r="CM80" s="24"/>
      <c r="CN80" s="25">
        <f t="shared" si="77"/>
        <v>0</v>
      </c>
      <c r="CO80" s="24">
        <f t="shared" si="85"/>
        <v>0</v>
      </c>
      <c r="CP80" s="24">
        <f t="shared" si="101"/>
        <v>0</v>
      </c>
      <c r="CQ80" s="24">
        <f t="shared" si="101"/>
        <v>0</v>
      </c>
      <c r="CR80" s="24">
        <f t="shared" si="101"/>
        <v>0</v>
      </c>
      <c r="CS80" s="24">
        <f t="shared" si="101"/>
        <v>0</v>
      </c>
      <c r="CT80" s="24">
        <f t="shared" si="101"/>
        <v>0</v>
      </c>
      <c r="CU80" s="24">
        <f t="shared" si="101"/>
        <v>0</v>
      </c>
      <c r="CV80" s="24">
        <f t="shared" ref="CV80:CX84" si="102">+N80-CA80</f>
        <v>0</v>
      </c>
      <c r="CW80" s="24">
        <f t="shared" si="102"/>
        <v>0</v>
      </c>
      <c r="CX80" s="24">
        <f t="shared" si="102"/>
        <v>0</v>
      </c>
      <c r="CY80" s="24">
        <f t="shared" si="88"/>
        <v>0</v>
      </c>
      <c r="CZ80" s="24">
        <f t="shared" si="88"/>
        <v>0</v>
      </c>
      <c r="DA80" s="24">
        <f t="shared" si="88"/>
        <v>0</v>
      </c>
      <c r="DB80" s="24">
        <f t="shared" si="99"/>
        <v>0</v>
      </c>
      <c r="DC80" s="24">
        <f t="shared" si="99"/>
        <v>0</v>
      </c>
      <c r="DD80" s="24">
        <f t="shared" si="99"/>
        <v>0</v>
      </c>
      <c r="DE80" s="24"/>
      <c r="DF80" s="24">
        <f t="shared" ref="DF80:DG84" si="103">+X80-CK80</f>
        <v>0</v>
      </c>
      <c r="DG80" s="54">
        <f t="shared" si="103"/>
        <v>0</v>
      </c>
      <c r="DH80" s="24">
        <f t="shared" si="100"/>
        <v>0</v>
      </c>
      <c r="DJ80" s="77"/>
      <c r="DK80" s="77"/>
      <c r="DL80" s="196">
        <f t="shared" si="43"/>
        <v>10000000</v>
      </c>
      <c r="DM80" s="197">
        <f t="shared" si="44"/>
        <v>10000000</v>
      </c>
      <c r="DN80" s="198">
        <f t="shared" si="72"/>
        <v>1</v>
      </c>
    </row>
    <row r="81" spans="1:118" ht="30.75" hidden="1" customHeight="1" x14ac:dyDescent="0.25">
      <c r="A81" s="229"/>
      <c r="B81" s="233"/>
      <c r="C81" s="20" t="s">
        <v>234</v>
      </c>
      <c r="D81" s="21" t="s">
        <v>235</v>
      </c>
      <c r="E81" s="22">
        <v>520</v>
      </c>
      <c r="F81" s="23" t="s">
        <v>91</v>
      </c>
      <c r="G81" s="24">
        <f>SUM(H81:Z81)</f>
        <v>10000000</v>
      </c>
      <c r="H81" s="33"/>
      <c r="I81" s="33"/>
      <c r="J81" s="33"/>
      <c r="K81" s="24">
        <v>10000000</v>
      </c>
      <c r="L81" s="33"/>
      <c r="M81" s="33"/>
      <c r="N81" s="33"/>
      <c r="O81" s="33"/>
      <c r="P81" s="33"/>
      <c r="Q81" s="28"/>
      <c r="R81" s="33"/>
      <c r="S81" s="45"/>
      <c r="T81" s="33"/>
      <c r="U81" s="33"/>
      <c r="V81" s="33"/>
      <c r="W81" s="33"/>
      <c r="X81" s="33"/>
      <c r="Y81" s="33"/>
      <c r="Z81" s="65"/>
      <c r="AA81" s="25">
        <f t="shared" si="92"/>
        <v>1</v>
      </c>
      <c r="AB81" s="24">
        <f t="shared" si="91"/>
        <v>10000000</v>
      </c>
      <c r="AC81" s="24"/>
      <c r="AD81" s="24"/>
      <c r="AE81" s="24"/>
      <c r="AF81" s="24"/>
      <c r="AG81" s="24">
        <f>+'[5]JULIO 2016'!$O$2306</f>
        <v>10000000</v>
      </c>
      <c r="AH81" s="24"/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  <c r="AW81" s="25">
        <f t="shared" si="94"/>
        <v>0</v>
      </c>
      <c r="AX81" s="24">
        <f t="shared" si="79"/>
        <v>0</v>
      </c>
      <c r="AY81" s="24">
        <f t="shared" si="80"/>
        <v>0</v>
      </c>
      <c r="AZ81" s="24">
        <f t="shared" si="80"/>
        <v>0</v>
      </c>
      <c r="BA81" s="24">
        <f t="shared" si="80"/>
        <v>0</v>
      </c>
      <c r="BB81" s="24">
        <f t="shared" si="96"/>
        <v>0</v>
      </c>
      <c r="BC81" s="24">
        <f t="shared" si="96"/>
        <v>0</v>
      </c>
      <c r="BD81" s="24">
        <f t="shared" si="96"/>
        <v>0</v>
      </c>
      <c r="BE81" s="24">
        <f t="shared" si="96"/>
        <v>0</v>
      </c>
      <c r="BF81" s="24">
        <f t="shared" si="96"/>
        <v>0</v>
      </c>
      <c r="BG81" s="24">
        <f t="shared" si="96"/>
        <v>0</v>
      </c>
      <c r="BH81" s="24">
        <f t="shared" si="96"/>
        <v>0</v>
      </c>
      <c r="BI81" s="24">
        <f t="shared" si="96"/>
        <v>0</v>
      </c>
      <c r="BJ81" s="24">
        <f t="shared" si="96"/>
        <v>0</v>
      </c>
      <c r="BK81" s="24">
        <f t="shared" si="96"/>
        <v>0</v>
      </c>
      <c r="BL81" s="24">
        <f t="shared" si="96"/>
        <v>0</v>
      </c>
      <c r="BM81" s="24">
        <f t="shared" si="96"/>
        <v>0</v>
      </c>
      <c r="BN81" s="24"/>
      <c r="BO81" s="24"/>
      <c r="BP81" s="24">
        <f t="shared" si="82"/>
        <v>0</v>
      </c>
      <c r="BQ81" s="24">
        <f t="shared" si="97"/>
        <v>0</v>
      </c>
      <c r="BR81" s="25">
        <f t="shared" si="93"/>
        <v>0</v>
      </c>
      <c r="BS81" s="24">
        <f t="shared" si="84"/>
        <v>0</v>
      </c>
      <c r="BT81" s="24"/>
      <c r="BU81" s="24"/>
      <c r="BV81" s="24"/>
      <c r="BW81" s="24"/>
      <c r="BX81" s="24"/>
      <c r="BY81" s="24"/>
      <c r="BZ81" s="24"/>
      <c r="CA81" s="24"/>
      <c r="CB81" s="24"/>
      <c r="CC81" s="24"/>
      <c r="CD81" s="24"/>
      <c r="CE81" s="24"/>
      <c r="CF81" s="24"/>
      <c r="CG81" s="24"/>
      <c r="CH81" s="24"/>
      <c r="CI81" s="24"/>
      <c r="CJ81" s="24"/>
      <c r="CK81" s="24"/>
      <c r="CL81" s="24"/>
      <c r="CM81" s="24"/>
      <c r="CN81" s="25">
        <f t="shared" si="77"/>
        <v>1</v>
      </c>
      <c r="CO81" s="24">
        <f t="shared" si="85"/>
        <v>10000000</v>
      </c>
      <c r="CP81" s="24">
        <f t="shared" si="101"/>
        <v>0</v>
      </c>
      <c r="CQ81" s="24">
        <f t="shared" si="101"/>
        <v>0</v>
      </c>
      <c r="CR81" s="24">
        <f t="shared" si="101"/>
        <v>0</v>
      </c>
      <c r="CS81" s="24">
        <f t="shared" si="101"/>
        <v>10000000</v>
      </c>
      <c r="CT81" s="24">
        <f t="shared" si="101"/>
        <v>0</v>
      </c>
      <c r="CU81" s="24">
        <f t="shared" si="101"/>
        <v>0</v>
      </c>
      <c r="CV81" s="24">
        <f t="shared" si="102"/>
        <v>0</v>
      </c>
      <c r="CW81" s="24">
        <f t="shared" si="102"/>
        <v>0</v>
      </c>
      <c r="CX81" s="24">
        <f t="shared" si="102"/>
        <v>0</v>
      </c>
      <c r="CY81" s="24">
        <f t="shared" si="88"/>
        <v>0</v>
      </c>
      <c r="CZ81" s="24">
        <f t="shared" si="88"/>
        <v>0</v>
      </c>
      <c r="DA81" s="24">
        <f t="shared" si="88"/>
        <v>0</v>
      </c>
      <c r="DB81" s="24">
        <f t="shared" si="99"/>
        <v>0</v>
      </c>
      <c r="DC81" s="24">
        <f t="shared" si="99"/>
        <v>0</v>
      </c>
      <c r="DD81" s="24">
        <f t="shared" si="99"/>
        <v>0</v>
      </c>
      <c r="DE81" s="24"/>
      <c r="DF81" s="24">
        <f t="shared" si="103"/>
        <v>0</v>
      </c>
      <c r="DG81" s="54">
        <f t="shared" si="103"/>
        <v>0</v>
      </c>
      <c r="DH81" s="24">
        <f t="shared" si="100"/>
        <v>0</v>
      </c>
      <c r="DJ81" s="77"/>
      <c r="DK81" s="77"/>
      <c r="DL81" s="196">
        <f t="shared" si="43"/>
        <v>10000000</v>
      </c>
      <c r="DM81" s="197">
        <f t="shared" si="44"/>
        <v>0</v>
      </c>
      <c r="DN81" s="198">
        <f t="shared" si="72"/>
        <v>0</v>
      </c>
    </row>
    <row r="82" spans="1:118" ht="35.25" hidden="1" customHeight="1" x14ac:dyDescent="0.25">
      <c r="A82" s="229"/>
      <c r="B82" s="231" t="s">
        <v>236</v>
      </c>
      <c r="C82" s="20" t="s">
        <v>237</v>
      </c>
      <c r="D82" s="66" t="s">
        <v>238</v>
      </c>
      <c r="E82" s="22">
        <v>520</v>
      </c>
      <c r="F82" s="67" t="s">
        <v>91</v>
      </c>
      <c r="G82" s="24">
        <f t="shared" si="78"/>
        <v>15000000</v>
      </c>
      <c r="H82" s="33"/>
      <c r="I82" s="33"/>
      <c r="J82" s="33"/>
      <c r="K82" s="45">
        <v>10000000</v>
      </c>
      <c r="L82" s="33"/>
      <c r="M82" s="33"/>
      <c r="N82" s="33"/>
      <c r="O82" s="33"/>
      <c r="P82" s="33"/>
      <c r="Q82" s="28"/>
      <c r="R82" s="33"/>
      <c r="S82" s="45">
        <f>25000000-20000000</f>
        <v>5000000</v>
      </c>
      <c r="T82" s="33"/>
      <c r="U82" s="33"/>
      <c r="V82" s="33"/>
      <c r="W82" s="33"/>
      <c r="X82" s="33"/>
      <c r="Y82" s="33"/>
      <c r="Z82" s="65"/>
      <c r="AA82" s="25">
        <f t="shared" si="92"/>
        <v>0.97333333333333338</v>
      </c>
      <c r="AB82" s="24">
        <f t="shared" si="91"/>
        <v>14600000</v>
      </c>
      <c r="AC82" s="24"/>
      <c r="AD82" s="24"/>
      <c r="AE82" s="24"/>
      <c r="AF82" s="24"/>
      <c r="AG82" s="24">
        <f>+'[2]ENERO 2016'!$O$816</f>
        <v>10000000</v>
      </c>
      <c r="AH82" s="24"/>
      <c r="AI82" s="24"/>
      <c r="AJ82" s="24"/>
      <c r="AK82" s="24"/>
      <c r="AL82" s="24"/>
      <c r="AM82" s="24"/>
      <c r="AN82" s="24"/>
      <c r="AO82" s="24">
        <f>+'[4]AGOSTO 2016'!$W$2973</f>
        <v>4600000</v>
      </c>
      <c r="AP82" s="24"/>
      <c r="AQ82" s="24"/>
      <c r="AR82" s="24"/>
      <c r="AS82" s="24"/>
      <c r="AT82" s="24"/>
      <c r="AU82" s="24"/>
      <c r="AV82" s="24"/>
      <c r="AW82" s="25">
        <f t="shared" si="94"/>
        <v>2.6666666666666616E-2</v>
      </c>
      <c r="AX82" s="24">
        <f t="shared" si="79"/>
        <v>400000</v>
      </c>
      <c r="AY82" s="24">
        <f t="shared" si="80"/>
        <v>0</v>
      </c>
      <c r="AZ82" s="24">
        <f t="shared" si="80"/>
        <v>0</v>
      </c>
      <c r="BA82" s="24">
        <f t="shared" si="80"/>
        <v>0</v>
      </c>
      <c r="BB82" s="24">
        <f t="shared" si="96"/>
        <v>0</v>
      </c>
      <c r="BC82" s="24">
        <f t="shared" si="96"/>
        <v>0</v>
      </c>
      <c r="BD82" s="24">
        <f t="shared" si="96"/>
        <v>0</v>
      </c>
      <c r="BE82" s="24">
        <f t="shared" si="96"/>
        <v>0</v>
      </c>
      <c r="BF82" s="24">
        <f t="shared" si="96"/>
        <v>0</v>
      </c>
      <c r="BG82" s="24">
        <f t="shared" si="96"/>
        <v>0</v>
      </c>
      <c r="BH82" s="24">
        <f t="shared" si="96"/>
        <v>0</v>
      </c>
      <c r="BI82" s="24">
        <f t="shared" si="96"/>
        <v>0</v>
      </c>
      <c r="BJ82" s="24">
        <f t="shared" si="96"/>
        <v>400000</v>
      </c>
      <c r="BK82" s="24">
        <f t="shared" si="96"/>
        <v>0</v>
      </c>
      <c r="BL82" s="24">
        <f t="shared" si="96"/>
        <v>0</v>
      </c>
      <c r="BM82" s="24">
        <f t="shared" si="96"/>
        <v>0</v>
      </c>
      <c r="BN82" s="24"/>
      <c r="BO82" s="24"/>
      <c r="BP82" s="24">
        <f t="shared" si="82"/>
        <v>0</v>
      </c>
      <c r="BQ82" s="24">
        <f t="shared" si="97"/>
        <v>0</v>
      </c>
      <c r="BR82" s="25">
        <f t="shared" si="93"/>
        <v>0.97333333333333338</v>
      </c>
      <c r="BS82" s="24">
        <f t="shared" si="84"/>
        <v>14600000</v>
      </c>
      <c r="BT82" s="24"/>
      <c r="BU82" s="24"/>
      <c r="BV82" s="24"/>
      <c r="BW82" s="24"/>
      <c r="BX82" s="24">
        <v>10000000</v>
      </c>
      <c r="BY82" s="24"/>
      <c r="BZ82" s="24"/>
      <c r="CA82" s="24"/>
      <c r="CB82" s="24"/>
      <c r="CC82" s="24"/>
      <c r="CD82" s="24"/>
      <c r="CE82" s="24"/>
      <c r="CF82" s="24">
        <f>+'[4]AGOSTO 2016'!$W$2973</f>
        <v>4600000</v>
      </c>
      <c r="CG82" s="24"/>
      <c r="CH82" s="24"/>
      <c r="CI82" s="24"/>
      <c r="CJ82" s="24"/>
      <c r="CK82" s="24"/>
      <c r="CL82" s="24"/>
      <c r="CM82" s="24"/>
      <c r="CN82" s="25">
        <f t="shared" si="77"/>
        <v>2.6666666666666616E-2</v>
      </c>
      <c r="CO82" s="24">
        <f t="shared" si="85"/>
        <v>400000</v>
      </c>
      <c r="CP82" s="24">
        <f t="shared" si="101"/>
        <v>0</v>
      </c>
      <c r="CQ82" s="24">
        <f t="shared" si="101"/>
        <v>0</v>
      </c>
      <c r="CR82" s="24">
        <f t="shared" si="101"/>
        <v>0</v>
      </c>
      <c r="CS82" s="24">
        <f t="shared" si="101"/>
        <v>0</v>
      </c>
      <c r="CT82" s="24">
        <f t="shared" si="101"/>
        <v>0</v>
      </c>
      <c r="CU82" s="24">
        <f t="shared" si="101"/>
        <v>0</v>
      </c>
      <c r="CV82" s="24">
        <f t="shared" si="102"/>
        <v>0</v>
      </c>
      <c r="CW82" s="24">
        <f t="shared" si="102"/>
        <v>0</v>
      </c>
      <c r="CX82" s="24">
        <f t="shared" si="102"/>
        <v>0</v>
      </c>
      <c r="CY82" s="24">
        <f t="shared" si="88"/>
        <v>0</v>
      </c>
      <c r="CZ82" s="24">
        <f t="shared" si="88"/>
        <v>0</v>
      </c>
      <c r="DA82" s="24">
        <f t="shared" si="88"/>
        <v>400000</v>
      </c>
      <c r="DB82" s="24">
        <f t="shared" si="99"/>
        <v>0</v>
      </c>
      <c r="DC82" s="24">
        <f t="shared" si="99"/>
        <v>0</v>
      </c>
      <c r="DD82" s="24">
        <f t="shared" si="99"/>
        <v>0</v>
      </c>
      <c r="DE82" s="24"/>
      <c r="DF82" s="24">
        <f t="shared" si="103"/>
        <v>0</v>
      </c>
      <c r="DG82" s="54">
        <f t="shared" si="103"/>
        <v>0</v>
      </c>
      <c r="DH82" s="24">
        <f t="shared" si="100"/>
        <v>0</v>
      </c>
      <c r="DJ82" s="77"/>
      <c r="DK82" s="77"/>
      <c r="DL82" s="196">
        <f t="shared" si="43"/>
        <v>15000000</v>
      </c>
      <c r="DM82" s="197">
        <f t="shared" si="44"/>
        <v>14600000</v>
      </c>
      <c r="DN82" s="198">
        <f t="shared" si="72"/>
        <v>0.97333333333333338</v>
      </c>
    </row>
    <row r="83" spans="1:118" ht="30" hidden="1" x14ac:dyDescent="0.25">
      <c r="A83" s="229"/>
      <c r="B83" s="232"/>
      <c r="C83" s="20" t="s">
        <v>239</v>
      </c>
      <c r="D83" s="66" t="s">
        <v>240</v>
      </c>
      <c r="E83" s="22">
        <v>520</v>
      </c>
      <c r="F83" s="67" t="s">
        <v>91</v>
      </c>
      <c r="G83" s="24">
        <f t="shared" si="78"/>
        <v>20000000</v>
      </c>
      <c r="H83" s="33"/>
      <c r="I83" s="33"/>
      <c r="J83" s="33"/>
      <c r="K83" s="45">
        <v>10000000</v>
      </c>
      <c r="L83" s="33"/>
      <c r="M83" s="33"/>
      <c r="N83" s="33"/>
      <c r="O83" s="33"/>
      <c r="P83" s="33"/>
      <c r="Q83" s="28"/>
      <c r="R83" s="33"/>
      <c r="S83" s="45">
        <v>10000000</v>
      </c>
      <c r="T83" s="33"/>
      <c r="U83" s="33"/>
      <c r="V83" s="33"/>
      <c r="W83" s="33"/>
      <c r="X83" s="33"/>
      <c r="Y83" s="33"/>
      <c r="Z83" s="65"/>
      <c r="AA83" s="25">
        <f t="shared" si="92"/>
        <v>0.38760620000000001</v>
      </c>
      <c r="AB83" s="24">
        <f t="shared" si="91"/>
        <v>7752124</v>
      </c>
      <c r="AC83" s="24"/>
      <c r="AD83" s="24"/>
      <c r="AE83" s="24"/>
      <c r="AF83" s="24"/>
      <c r="AG83" s="24">
        <f>+'[1]SEPTIEMBRE 2016'!$O$3500</f>
        <v>7752124</v>
      </c>
      <c r="AH83" s="24"/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5">
        <f t="shared" si="94"/>
        <v>0.61239379999999999</v>
      </c>
      <c r="AX83" s="24">
        <f t="shared" si="79"/>
        <v>12247876</v>
      </c>
      <c r="AY83" s="24">
        <f t="shared" si="80"/>
        <v>0</v>
      </c>
      <c r="AZ83" s="24">
        <f t="shared" si="80"/>
        <v>0</v>
      </c>
      <c r="BA83" s="24">
        <f t="shared" si="80"/>
        <v>0</v>
      </c>
      <c r="BB83" s="24">
        <f t="shared" si="96"/>
        <v>2247876</v>
      </c>
      <c r="BC83" s="24">
        <f t="shared" si="96"/>
        <v>0</v>
      </c>
      <c r="BD83" s="24">
        <f t="shared" si="96"/>
        <v>0</v>
      </c>
      <c r="BE83" s="24">
        <f t="shared" si="96"/>
        <v>0</v>
      </c>
      <c r="BF83" s="24">
        <f t="shared" si="96"/>
        <v>0</v>
      </c>
      <c r="BG83" s="24">
        <f t="shared" si="96"/>
        <v>0</v>
      </c>
      <c r="BH83" s="24">
        <f t="shared" si="96"/>
        <v>0</v>
      </c>
      <c r="BI83" s="24">
        <f t="shared" si="96"/>
        <v>0</v>
      </c>
      <c r="BJ83" s="24">
        <f t="shared" si="96"/>
        <v>10000000</v>
      </c>
      <c r="BK83" s="24">
        <f t="shared" si="96"/>
        <v>0</v>
      </c>
      <c r="BL83" s="24">
        <f t="shared" si="96"/>
        <v>0</v>
      </c>
      <c r="BM83" s="24">
        <f t="shared" si="96"/>
        <v>0</v>
      </c>
      <c r="BN83" s="24"/>
      <c r="BO83" s="24"/>
      <c r="BP83" s="24">
        <f t="shared" si="82"/>
        <v>0</v>
      </c>
      <c r="BQ83" s="24">
        <f t="shared" si="97"/>
        <v>0</v>
      </c>
      <c r="BR83" s="25">
        <f t="shared" si="93"/>
        <v>0.38760620000000001</v>
      </c>
      <c r="BS83" s="24">
        <f t="shared" si="84"/>
        <v>7752124</v>
      </c>
      <c r="BT83" s="24"/>
      <c r="BU83" s="24"/>
      <c r="BV83" s="24"/>
      <c r="BW83" s="24"/>
      <c r="BX83" s="24">
        <f>+'[1]SEPTIEMBRE 2016'!$H$3498</f>
        <v>7752124</v>
      </c>
      <c r="BY83" s="24"/>
      <c r="BZ83" s="24"/>
      <c r="CA83" s="24"/>
      <c r="CB83" s="24"/>
      <c r="CC83" s="24"/>
      <c r="CD83" s="24"/>
      <c r="CE83" s="24"/>
      <c r="CF83" s="24"/>
      <c r="CG83" s="24"/>
      <c r="CH83" s="24"/>
      <c r="CI83" s="24"/>
      <c r="CJ83" s="24"/>
      <c r="CK83" s="24"/>
      <c r="CL83" s="24"/>
      <c r="CM83" s="24"/>
      <c r="CN83" s="25">
        <f t="shared" si="77"/>
        <v>0.61239379999999999</v>
      </c>
      <c r="CO83" s="24">
        <f t="shared" si="85"/>
        <v>12247876</v>
      </c>
      <c r="CP83" s="24">
        <f t="shared" si="101"/>
        <v>0</v>
      </c>
      <c r="CQ83" s="24">
        <f t="shared" si="101"/>
        <v>0</v>
      </c>
      <c r="CR83" s="24">
        <f t="shared" si="101"/>
        <v>0</v>
      </c>
      <c r="CS83" s="24">
        <f t="shared" si="101"/>
        <v>2247876</v>
      </c>
      <c r="CT83" s="24">
        <f t="shared" si="101"/>
        <v>0</v>
      </c>
      <c r="CU83" s="24">
        <f t="shared" si="101"/>
        <v>0</v>
      </c>
      <c r="CV83" s="24">
        <f t="shared" si="102"/>
        <v>0</v>
      </c>
      <c r="CW83" s="24">
        <f t="shared" si="102"/>
        <v>0</v>
      </c>
      <c r="CX83" s="24">
        <f t="shared" si="102"/>
        <v>0</v>
      </c>
      <c r="CY83" s="24">
        <f t="shared" si="88"/>
        <v>0</v>
      </c>
      <c r="CZ83" s="24">
        <f t="shared" si="88"/>
        <v>0</v>
      </c>
      <c r="DA83" s="24">
        <f t="shared" si="88"/>
        <v>10000000</v>
      </c>
      <c r="DB83" s="24">
        <f t="shared" si="99"/>
        <v>0</v>
      </c>
      <c r="DC83" s="24">
        <f t="shared" si="99"/>
        <v>0</v>
      </c>
      <c r="DD83" s="24">
        <f t="shared" si="99"/>
        <v>0</v>
      </c>
      <c r="DE83" s="24"/>
      <c r="DF83" s="24">
        <f t="shared" si="103"/>
        <v>0</v>
      </c>
      <c r="DG83" s="54">
        <f t="shared" si="103"/>
        <v>0</v>
      </c>
      <c r="DH83" s="24">
        <f t="shared" si="100"/>
        <v>0</v>
      </c>
      <c r="DJ83" s="77"/>
      <c r="DK83" s="77"/>
      <c r="DL83" s="196">
        <f t="shared" si="43"/>
        <v>20000000</v>
      </c>
      <c r="DM83" s="197">
        <f t="shared" si="44"/>
        <v>7752124</v>
      </c>
      <c r="DN83" s="198">
        <f t="shared" si="72"/>
        <v>0.38760620000000001</v>
      </c>
    </row>
    <row r="84" spans="1:118" ht="30.75" hidden="1" customHeight="1" x14ac:dyDescent="0.25">
      <c r="A84" s="229"/>
      <c r="B84" s="232"/>
      <c r="C84" s="20" t="s">
        <v>241</v>
      </c>
      <c r="D84" s="66" t="s">
        <v>242</v>
      </c>
      <c r="E84" s="22">
        <v>520</v>
      </c>
      <c r="F84" s="67" t="s">
        <v>91</v>
      </c>
      <c r="G84" s="24">
        <f t="shared" si="78"/>
        <v>5000000</v>
      </c>
      <c r="H84" s="33"/>
      <c r="I84" s="33"/>
      <c r="J84" s="33"/>
      <c r="K84" s="24">
        <v>1098558</v>
      </c>
      <c r="L84" s="33"/>
      <c r="M84" s="33"/>
      <c r="N84" s="33"/>
      <c r="O84" s="33"/>
      <c r="P84" s="33"/>
      <c r="Q84" s="28"/>
      <c r="R84" s="33"/>
      <c r="S84" s="45">
        <f>48901442-45000000</f>
        <v>3901442</v>
      </c>
      <c r="T84" s="33"/>
      <c r="U84" s="33"/>
      <c r="V84" s="33"/>
      <c r="W84" s="33"/>
      <c r="X84" s="33"/>
      <c r="Y84" s="33"/>
      <c r="Z84" s="65"/>
      <c r="AA84" s="25">
        <f t="shared" si="92"/>
        <v>0</v>
      </c>
      <c r="AB84" s="24">
        <f t="shared" si="91"/>
        <v>0</v>
      </c>
      <c r="AC84" s="24"/>
      <c r="AD84" s="24"/>
      <c r="AE84" s="24"/>
      <c r="AF84" s="24"/>
      <c r="AG84" s="24"/>
      <c r="AH84" s="24"/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  <c r="AV84" s="24"/>
      <c r="AW84" s="25">
        <f t="shared" si="94"/>
        <v>1</v>
      </c>
      <c r="AX84" s="24">
        <f t="shared" si="79"/>
        <v>5000000</v>
      </c>
      <c r="AY84" s="24">
        <f t="shared" si="80"/>
        <v>0</v>
      </c>
      <c r="AZ84" s="24">
        <f t="shared" si="80"/>
        <v>0</v>
      </c>
      <c r="BA84" s="24">
        <f t="shared" si="80"/>
        <v>0</v>
      </c>
      <c r="BB84" s="24">
        <f t="shared" si="96"/>
        <v>1098558</v>
      </c>
      <c r="BC84" s="24">
        <f t="shared" si="96"/>
        <v>0</v>
      </c>
      <c r="BD84" s="24">
        <f t="shared" si="96"/>
        <v>0</v>
      </c>
      <c r="BE84" s="24">
        <f t="shared" si="96"/>
        <v>0</v>
      </c>
      <c r="BF84" s="24">
        <f t="shared" si="96"/>
        <v>0</v>
      </c>
      <c r="BG84" s="24">
        <f t="shared" si="96"/>
        <v>0</v>
      </c>
      <c r="BH84" s="24">
        <f t="shared" si="96"/>
        <v>0</v>
      </c>
      <c r="BI84" s="24">
        <f t="shared" si="96"/>
        <v>0</v>
      </c>
      <c r="BJ84" s="24">
        <f t="shared" si="96"/>
        <v>3901442</v>
      </c>
      <c r="BK84" s="24">
        <f t="shared" si="96"/>
        <v>0</v>
      </c>
      <c r="BL84" s="24">
        <f t="shared" si="96"/>
        <v>0</v>
      </c>
      <c r="BM84" s="24">
        <f t="shared" si="96"/>
        <v>0</v>
      </c>
      <c r="BN84" s="24"/>
      <c r="BO84" s="24"/>
      <c r="BP84" s="24">
        <f t="shared" si="82"/>
        <v>0</v>
      </c>
      <c r="BQ84" s="24">
        <f t="shared" si="97"/>
        <v>0</v>
      </c>
      <c r="BR84" s="25">
        <f t="shared" si="93"/>
        <v>0</v>
      </c>
      <c r="BS84" s="24">
        <f t="shared" si="84"/>
        <v>0</v>
      </c>
      <c r="BT84" s="24"/>
      <c r="BU84" s="24"/>
      <c r="BV84" s="24"/>
      <c r="BW84" s="24"/>
      <c r="BX84" s="24"/>
      <c r="BY84" s="24"/>
      <c r="BZ84" s="24"/>
      <c r="CA84" s="24"/>
      <c r="CB84" s="24"/>
      <c r="CC84" s="24"/>
      <c r="CD84" s="24"/>
      <c r="CE84" s="24"/>
      <c r="CF84" s="24"/>
      <c r="CG84" s="24"/>
      <c r="CH84" s="24"/>
      <c r="CI84" s="24"/>
      <c r="CJ84" s="24"/>
      <c r="CK84" s="24"/>
      <c r="CL84" s="24"/>
      <c r="CM84" s="24"/>
      <c r="CN84" s="25">
        <f t="shared" si="77"/>
        <v>1</v>
      </c>
      <c r="CO84" s="24">
        <f t="shared" si="85"/>
        <v>5000000</v>
      </c>
      <c r="CP84" s="24">
        <f t="shared" si="101"/>
        <v>0</v>
      </c>
      <c r="CQ84" s="24">
        <f t="shared" si="101"/>
        <v>0</v>
      </c>
      <c r="CR84" s="24">
        <f t="shared" si="101"/>
        <v>0</v>
      </c>
      <c r="CS84" s="24">
        <f t="shared" si="101"/>
        <v>1098558</v>
      </c>
      <c r="CT84" s="24">
        <f t="shared" si="101"/>
        <v>0</v>
      </c>
      <c r="CU84" s="24">
        <f t="shared" si="101"/>
        <v>0</v>
      </c>
      <c r="CV84" s="24">
        <f t="shared" si="102"/>
        <v>0</v>
      </c>
      <c r="CW84" s="24">
        <f t="shared" si="102"/>
        <v>0</v>
      </c>
      <c r="CX84" s="24">
        <f t="shared" si="102"/>
        <v>0</v>
      </c>
      <c r="CY84" s="24">
        <f t="shared" si="88"/>
        <v>0</v>
      </c>
      <c r="CZ84" s="24">
        <f t="shared" si="88"/>
        <v>0</v>
      </c>
      <c r="DA84" s="24">
        <f t="shared" si="88"/>
        <v>3901442</v>
      </c>
      <c r="DB84" s="24">
        <f t="shared" si="99"/>
        <v>0</v>
      </c>
      <c r="DC84" s="24">
        <f t="shared" si="99"/>
        <v>0</v>
      </c>
      <c r="DD84" s="24">
        <f t="shared" si="99"/>
        <v>0</v>
      </c>
      <c r="DE84" s="24"/>
      <c r="DF84" s="24">
        <f t="shared" si="103"/>
        <v>0</v>
      </c>
      <c r="DG84" s="54">
        <f t="shared" si="103"/>
        <v>0</v>
      </c>
      <c r="DH84" s="24">
        <f t="shared" si="100"/>
        <v>0</v>
      </c>
      <c r="DJ84" s="77"/>
      <c r="DK84" s="77"/>
      <c r="DL84" s="196">
        <f t="shared" si="43"/>
        <v>5000000</v>
      </c>
      <c r="DM84" s="197">
        <f t="shared" si="44"/>
        <v>0</v>
      </c>
      <c r="DN84" s="198">
        <f t="shared" si="72"/>
        <v>0</v>
      </c>
    </row>
    <row r="85" spans="1:118" ht="21" hidden="1" customHeight="1" x14ac:dyDescent="0.25">
      <c r="A85" s="229"/>
      <c r="B85" s="233"/>
      <c r="C85" s="20" t="s">
        <v>243</v>
      </c>
      <c r="D85" s="66" t="s">
        <v>244</v>
      </c>
      <c r="E85" s="22">
        <v>520</v>
      </c>
      <c r="F85" s="67" t="s">
        <v>91</v>
      </c>
      <c r="G85" s="24">
        <f t="shared" si="78"/>
        <v>20000000</v>
      </c>
      <c r="H85" s="33"/>
      <c r="I85" s="33"/>
      <c r="J85" s="33"/>
      <c r="K85" s="24">
        <v>10000000</v>
      </c>
      <c r="L85" s="33"/>
      <c r="M85" s="33"/>
      <c r="N85" s="33"/>
      <c r="O85" s="33"/>
      <c r="P85" s="33"/>
      <c r="Q85" s="28"/>
      <c r="R85" s="33"/>
      <c r="S85" s="45">
        <v>10000000</v>
      </c>
      <c r="T85" s="33"/>
      <c r="U85" s="33"/>
      <c r="V85" s="33"/>
      <c r="W85" s="33"/>
      <c r="X85" s="33"/>
      <c r="Y85" s="33"/>
      <c r="Z85" s="65"/>
      <c r="AA85" s="25">
        <f t="shared" si="92"/>
        <v>0.72813795000000003</v>
      </c>
      <c r="AB85" s="24">
        <f t="shared" si="91"/>
        <v>14562759</v>
      </c>
      <c r="AC85" s="24"/>
      <c r="AD85" s="24"/>
      <c r="AE85" s="24"/>
      <c r="AF85" s="24"/>
      <c r="AG85" s="24">
        <f>+'[8]ABRIL 2016'!$O$1609</f>
        <v>9950000</v>
      </c>
      <c r="AH85" s="24"/>
      <c r="AI85" s="24"/>
      <c r="AJ85" s="24"/>
      <c r="AK85" s="24"/>
      <c r="AL85" s="24"/>
      <c r="AM85" s="24"/>
      <c r="AN85" s="24"/>
      <c r="AO85" s="24">
        <f>+'[4]AGOSTO 2016'!$W$2993</f>
        <v>4612759</v>
      </c>
      <c r="AP85" s="24"/>
      <c r="AQ85" s="24"/>
      <c r="AR85" s="24"/>
      <c r="AS85" s="24"/>
      <c r="AT85" s="24"/>
      <c r="AU85" s="24"/>
      <c r="AV85" s="24"/>
      <c r="AW85" s="25">
        <f t="shared" si="94"/>
        <v>0.27186204999999997</v>
      </c>
      <c r="AX85" s="24">
        <f t="shared" si="79"/>
        <v>5437241</v>
      </c>
      <c r="AY85" s="24">
        <f t="shared" si="80"/>
        <v>0</v>
      </c>
      <c r="AZ85" s="24">
        <f t="shared" si="80"/>
        <v>0</v>
      </c>
      <c r="BA85" s="24">
        <f t="shared" si="80"/>
        <v>0</v>
      </c>
      <c r="BB85" s="24">
        <f t="shared" si="96"/>
        <v>50000</v>
      </c>
      <c r="BC85" s="24">
        <f t="shared" si="96"/>
        <v>0</v>
      </c>
      <c r="BD85" s="24">
        <f t="shared" si="96"/>
        <v>0</v>
      </c>
      <c r="BE85" s="24">
        <f t="shared" si="96"/>
        <v>0</v>
      </c>
      <c r="BF85" s="24">
        <f t="shared" si="96"/>
        <v>0</v>
      </c>
      <c r="BG85" s="24">
        <f t="shared" si="96"/>
        <v>0</v>
      </c>
      <c r="BH85" s="24">
        <f t="shared" si="96"/>
        <v>0</v>
      </c>
      <c r="BI85" s="24">
        <f t="shared" si="96"/>
        <v>0</v>
      </c>
      <c r="BJ85" s="24">
        <f t="shared" si="96"/>
        <v>5387241</v>
      </c>
      <c r="BK85" s="24">
        <f t="shared" si="96"/>
        <v>0</v>
      </c>
      <c r="BL85" s="24">
        <f t="shared" si="96"/>
        <v>0</v>
      </c>
      <c r="BM85" s="24">
        <f t="shared" si="96"/>
        <v>0</v>
      </c>
      <c r="BN85" s="24"/>
      <c r="BO85" s="24">
        <f>+X85-AT85</f>
        <v>0</v>
      </c>
      <c r="BP85" s="24">
        <f t="shared" si="82"/>
        <v>0</v>
      </c>
      <c r="BQ85" s="24">
        <f t="shared" si="97"/>
        <v>0</v>
      </c>
      <c r="BR85" s="25">
        <f t="shared" si="93"/>
        <v>0.72813795000000003</v>
      </c>
      <c r="BS85" s="24">
        <f t="shared" si="84"/>
        <v>14562759</v>
      </c>
      <c r="BT85" s="24"/>
      <c r="BU85" s="24"/>
      <c r="BV85" s="24"/>
      <c r="BW85" s="24"/>
      <c r="BX85" s="24">
        <v>9950000</v>
      </c>
      <c r="BY85" s="24"/>
      <c r="BZ85" s="24"/>
      <c r="CA85" s="24"/>
      <c r="CB85" s="24"/>
      <c r="CC85" s="24"/>
      <c r="CD85" s="24"/>
      <c r="CE85" s="24"/>
      <c r="CF85" s="24">
        <f>+'[4]AGOSTO 2016'!$W$2993</f>
        <v>4612759</v>
      </c>
      <c r="CG85" s="24"/>
      <c r="CH85" s="24"/>
      <c r="CI85" s="24"/>
      <c r="CJ85" s="24"/>
      <c r="CK85" s="24"/>
      <c r="CL85" s="24"/>
      <c r="CM85" s="24"/>
      <c r="CN85" s="25">
        <f t="shared" si="77"/>
        <v>0.27186204999999997</v>
      </c>
      <c r="CO85" s="24">
        <f t="shared" si="85"/>
        <v>5437241</v>
      </c>
      <c r="CP85" s="24">
        <f t="shared" si="101"/>
        <v>0</v>
      </c>
      <c r="CQ85" s="24">
        <f t="shared" si="101"/>
        <v>0</v>
      </c>
      <c r="CR85" s="24">
        <f t="shared" si="101"/>
        <v>0</v>
      </c>
      <c r="CS85" s="24">
        <f t="shared" si="101"/>
        <v>50000</v>
      </c>
      <c r="CT85" s="24">
        <f t="shared" si="101"/>
        <v>0</v>
      </c>
      <c r="CU85" s="24">
        <f t="shared" si="101"/>
        <v>0</v>
      </c>
      <c r="CV85" s="24">
        <f>N85-CA85</f>
        <v>0</v>
      </c>
      <c r="CW85" s="24">
        <f>O85-CB85</f>
        <v>0</v>
      </c>
      <c r="CX85" s="24">
        <f>P85-CC85</f>
        <v>0</v>
      </c>
      <c r="CY85" s="24">
        <f t="shared" si="88"/>
        <v>0</v>
      </c>
      <c r="CZ85" s="24">
        <f t="shared" si="88"/>
        <v>0</v>
      </c>
      <c r="DA85" s="24">
        <f t="shared" si="88"/>
        <v>5387241</v>
      </c>
      <c r="DB85" s="24">
        <f>T85-CG85</f>
        <v>0</v>
      </c>
      <c r="DC85" s="24">
        <f>U85-CH85</f>
        <v>0</v>
      </c>
      <c r="DD85" s="24">
        <f>V85-CI85</f>
        <v>0</v>
      </c>
      <c r="DE85" s="24"/>
      <c r="DF85" s="24">
        <f>X85-CK85</f>
        <v>0</v>
      </c>
      <c r="DG85" s="24">
        <f>Y85-CL85</f>
        <v>0</v>
      </c>
      <c r="DH85" s="24">
        <f>Z85-CM85</f>
        <v>0</v>
      </c>
      <c r="DJ85" s="77"/>
      <c r="DK85" s="77"/>
      <c r="DL85" s="196">
        <f t="shared" ref="DL85:DL133" si="104">+G85</f>
        <v>20000000</v>
      </c>
      <c r="DM85" s="197">
        <f t="shared" ref="DM85:DM133" si="105">+BS85</f>
        <v>14562759</v>
      </c>
      <c r="DN85" s="198">
        <f t="shared" si="72"/>
        <v>0.72813795000000003</v>
      </c>
    </row>
    <row r="86" spans="1:118" s="58" customFormat="1" ht="35.25" hidden="1" customHeight="1" x14ac:dyDescent="0.25">
      <c r="A86" s="229" t="s">
        <v>183</v>
      </c>
      <c r="B86" s="231" t="s">
        <v>245</v>
      </c>
      <c r="C86" s="68" t="s">
        <v>246</v>
      </c>
      <c r="D86" s="21" t="s">
        <v>247</v>
      </c>
      <c r="E86" s="64">
        <v>520</v>
      </c>
      <c r="F86" s="67" t="s">
        <v>91</v>
      </c>
      <c r="G86" s="24">
        <f t="shared" si="78"/>
        <v>6000000</v>
      </c>
      <c r="H86" s="28"/>
      <c r="I86" s="28"/>
      <c r="J86" s="28"/>
      <c r="K86" s="54">
        <v>6000000</v>
      </c>
      <c r="L86" s="28"/>
      <c r="M86" s="28"/>
      <c r="N86" s="28"/>
      <c r="O86" s="28"/>
      <c r="P86" s="28"/>
      <c r="Q86" s="28"/>
      <c r="R86" s="28"/>
      <c r="S86" s="45"/>
      <c r="T86" s="54"/>
      <c r="U86" s="54"/>
      <c r="V86" s="54"/>
      <c r="W86" s="54"/>
      <c r="X86" s="54"/>
      <c r="Y86" s="54"/>
      <c r="Z86" s="54"/>
      <c r="AA86" s="57">
        <f t="shared" si="92"/>
        <v>0.6</v>
      </c>
      <c r="AB86" s="24">
        <f t="shared" si="91"/>
        <v>3600000</v>
      </c>
      <c r="AC86" s="54"/>
      <c r="AD86" s="54"/>
      <c r="AE86" s="54"/>
      <c r="AF86" s="54"/>
      <c r="AG86" s="24">
        <f>+'[1]SEPTIEMBRE 2016'!$O$3529</f>
        <v>3600000</v>
      </c>
      <c r="AH86" s="54"/>
      <c r="AI86" s="54"/>
      <c r="AJ86" s="54"/>
      <c r="AK86" s="54"/>
      <c r="AL86" s="54"/>
      <c r="AM86" s="54"/>
      <c r="AN86" s="54"/>
      <c r="AO86" s="54"/>
      <c r="AP86" s="54"/>
      <c r="AQ86" s="54"/>
      <c r="AR86" s="54"/>
      <c r="AS86" s="54"/>
      <c r="AT86" s="54"/>
      <c r="AU86" s="54"/>
      <c r="AV86" s="54"/>
      <c r="AW86" s="57">
        <f t="shared" si="94"/>
        <v>0.4</v>
      </c>
      <c r="AX86" s="24">
        <f t="shared" si="79"/>
        <v>2400000</v>
      </c>
      <c r="AY86" s="54">
        <f t="shared" si="80"/>
        <v>0</v>
      </c>
      <c r="AZ86" s="54">
        <f t="shared" si="80"/>
        <v>0</v>
      </c>
      <c r="BA86" s="24">
        <f t="shared" si="80"/>
        <v>0</v>
      </c>
      <c r="BB86" s="54">
        <f t="shared" si="96"/>
        <v>2400000</v>
      </c>
      <c r="BC86" s="54">
        <f t="shared" si="96"/>
        <v>0</v>
      </c>
      <c r="BD86" s="24">
        <f t="shared" si="96"/>
        <v>0</v>
      </c>
      <c r="BE86" s="54">
        <f t="shared" si="96"/>
        <v>0</v>
      </c>
      <c r="BF86" s="54">
        <f t="shared" si="96"/>
        <v>0</v>
      </c>
      <c r="BG86" s="24">
        <f t="shared" si="96"/>
        <v>0</v>
      </c>
      <c r="BH86" s="54">
        <f t="shared" si="96"/>
        <v>0</v>
      </c>
      <c r="BI86" s="54">
        <f t="shared" si="96"/>
        <v>0</v>
      </c>
      <c r="BJ86" s="54">
        <f t="shared" si="96"/>
        <v>0</v>
      </c>
      <c r="BK86" s="54">
        <f t="shared" si="96"/>
        <v>0</v>
      </c>
      <c r="BL86" s="54">
        <f t="shared" si="96"/>
        <v>0</v>
      </c>
      <c r="BM86" s="54">
        <f t="shared" si="96"/>
        <v>0</v>
      </c>
      <c r="BN86" s="54"/>
      <c r="BO86" s="54"/>
      <c r="BP86" s="24">
        <f t="shared" si="82"/>
        <v>0</v>
      </c>
      <c r="BQ86" s="54">
        <f t="shared" si="97"/>
        <v>0</v>
      </c>
      <c r="BR86" s="57">
        <f t="shared" si="93"/>
        <v>0.6</v>
      </c>
      <c r="BS86" s="24">
        <f t="shared" si="84"/>
        <v>3600000</v>
      </c>
      <c r="BT86" s="54"/>
      <c r="BU86" s="54"/>
      <c r="BV86" s="54"/>
      <c r="BW86" s="54"/>
      <c r="BX86" s="54">
        <f>+'[1]SEPTIEMBRE 2016'!$H$3527</f>
        <v>3600000</v>
      </c>
      <c r="BY86" s="54"/>
      <c r="BZ86" s="54"/>
      <c r="CA86" s="54"/>
      <c r="CB86" s="54"/>
      <c r="CC86" s="54"/>
      <c r="CD86" s="54"/>
      <c r="CE86" s="54"/>
      <c r="CF86" s="54"/>
      <c r="CG86" s="54"/>
      <c r="CH86" s="54"/>
      <c r="CI86" s="54"/>
      <c r="CJ86" s="54"/>
      <c r="CK86" s="54"/>
      <c r="CL86" s="54"/>
      <c r="CM86" s="54"/>
      <c r="CN86" s="57">
        <f t="shared" si="77"/>
        <v>0.4</v>
      </c>
      <c r="CO86" s="24">
        <f t="shared" si="85"/>
        <v>2400000</v>
      </c>
      <c r="CP86" s="24">
        <f t="shared" si="101"/>
        <v>0</v>
      </c>
      <c r="CQ86" s="54">
        <f t="shared" si="101"/>
        <v>0</v>
      </c>
      <c r="CR86" s="24">
        <f t="shared" si="101"/>
        <v>0</v>
      </c>
      <c r="CS86" s="54">
        <f t="shared" si="101"/>
        <v>2400000</v>
      </c>
      <c r="CT86" s="54">
        <f t="shared" si="101"/>
        <v>0</v>
      </c>
      <c r="CU86" s="24">
        <f t="shared" si="101"/>
        <v>0</v>
      </c>
      <c r="CV86" s="54">
        <f t="shared" ref="CV86:DD92" si="106">+N86-CA86</f>
        <v>0</v>
      </c>
      <c r="CW86" s="54">
        <f t="shared" si="106"/>
        <v>0</v>
      </c>
      <c r="CX86" s="24">
        <f t="shared" si="106"/>
        <v>0</v>
      </c>
      <c r="CY86" s="54">
        <f t="shared" si="88"/>
        <v>0</v>
      </c>
      <c r="CZ86" s="54">
        <f t="shared" si="88"/>
        <v>0</v>
      </c>
      <c r="DA86" s="54">
        <f t="shared" si="88"/>
        <v>0</v>
      </c>
      <c r="DB86" s="54">
        <f>+T86-CG86</f>
        <v>0</v>
      </c>
      <c r="DC86" s="54">
        <f>+U86-CH86</f>
        <v>0</v>
      </c>
      <c r="DD86" s="54">
        <f>+V86-CI86</f>
        <v>0</v>
      </c>
      <c r="DE86" s="54"/>
      <c r="DF86" s="54">
        <f>+X86-CK86</f>
        <v>0</v>
      </c>
      <c r="DG86" s="54">
        <f>+Y86-CL86</f>
        <v>0</v>
      </c>
      <c r="DH86" s="54">
        <f>+Z86-CM86</f>
        <v>0</v>
      </c>
      <c r="DJ86" s="77"/>
      <c r="DK86" s="77"/>
      <c r="DL86" s="196">
        <f t="shared" si="104"/>
        <v>6000000</v>
      </c>
      <c r="DM86" s="197">
        <f t="shared" si="105"/>
        <v>3600000</v>
      </c>
      <c r="DN86" s="198">
        <f t="shared" si="72"/>
        <v>0.6</v>
      </c>
    </row>
    <row r="87" spans="1:118" s="58" customFormat="1" ht="49.5" hidden="1" customHeight="1" x14ac:dyDescent="0.25">
      <c r="A87" s="229"/>
      <c r="B87" s="233"/>
      <c r="C87" s="68" t="s">
        <v>248</v>
      </c>
      <c r="D87" s="21" t="s">
        <v>249</v>
      </c>
      <c r="E87" s="64">
        <v>520</v>
      </c>
      <c r="F87" s="67" t="s">
        <v>91</v>
      </c>
      <c r="G87" s="24">
        <f t="shared" si="78"/>
        <v>6000000</v>
      </c>
      <c r="H87" s="28"/>
      <c r="I87" s="28"/>
      <c r="J87" s="28"/>
      <c r="K87" s="56">
        <v>6000000</v>
      </c>
      <c r="L87" s="28"/>
      <c r="M87" s="28"/>
      <c r="N87" s="28"/>
      <c r="O87" s="28"/>
      <c r="P87" s="28"/>
      <c r="Q87" s="28"/>
      <c r="R87" s="28"/>
      <c r="S87" s="45"/>
      <c r="T87" s="54"/>
      <c r="U87" s="54"/>
      <c r="V87" s="54"/>
      <c r="W87" s="54"/>
      <c r="X87" s="54"/>
      <c r="Y87" s="54"/>
      <c r="Z87" s="54"/>
      <c r="AA87" s="57">
        <f t="shared" si="92"/>
        <v>0</v>
      </c>
      <c r="AB87" s="24">
        <f t="shared" si="91"/>
        <v>0</v>
      </c>
      <c r="AC87" s="54"/>
      <c r="AD87" s="54"/>
      <c r="AE87" s="54"/>
      <c r="AF87" s="54"/>
      <c r="AG87" s="54"/>
      <c r="AH87" s="54"/>
      <c r="AI87" s="54"/>
      <c r="AJ87" s="54"/>
      <c r="AK87" s="54"/>
      <c r="AL87" s="54"/>
      <c r="AM87" s="54"/>
      <c r="AN87" s="54"/>
      <c r="AO87" s="54"/>
      <c r="AP87" s="54"/>
      <c r="AQ87" s="54"/>
      <c r="AR87" s="54"/>
      <c r="AS87" s="54"/>
      <c r="AT87" s="54"/>
      <c r="AU87" s="54"/>
      <c r="AV87" s="54"/>
      <c r="AW87" s="57">
        <f t="shared" si="94"/>
        <v>1</v>
      </c>
      <c r="AX87" s="24">
        <f t="shared" si="79"/>
        <v>6000000</v>
      </c>
      <c r="AY87" s="54">
        <f t="shared" si="80"/>
        <v>0</v>
      </c>
      <c r="AZ87" s="54">
        <f t="shared" si="80"/>
        <v>0</v>
      </c>
      <c r="BA87" s="24">
        <f t="shared" si="80"/>
        <v>0</v>
      </c>
      <c r="BB87" s="54">
        <f t="shared" si="96"/>
        <v>6000000</v>
      </c>
      <c r="BC87" s="54">
        <f t="shared" si="96"/>
        <v>0</v>
      </c>
      <c r="BD87" s="24">
        <f t="shared" si="96"/>
        <v>0</v>
      </c>
      <c r="BE87" s="54">
        <f t="shared" si="96"/>
        <v>0</v>
      </c>
      <c r="BF87" s="54">
        <f t="shared" si="96"/>
        <v>0</v>
      </c>
      <c r="BG87" s="24">
        <f t="shared" si="96"/>
        <v>0</v>
      </c>
      <c r="BH87" s="54">
        <f t="shared" si="96"/>
        <v>0</v>
      </c>
      <c r="BI87" s="54">
        <f t="shared" si="96"/>
        <v>0</v>
      </c>
      <c r="BJ87" s="54">
        <f t="shared" si="96"/>
        <v>0</v>
      </c>
      <c r="BK87" s="54">
        <f t="shared" si="96"/>
        <v>0</v>
      </c>
      <c r="BL87" s="54">
        <f t="shared" si="96"/>
        <v>0</v>
      </c>
      <c r="BM87" s="54">
        <f t="shared" si="96"/>
        <v>0</v>
      </c>
      <c r="BN87" s="54"/>
      <c r="BO87" s="54">
        <f>+X87-AT87</f>
        <v>0</v>
      </c>
      <c r="BP87" s="24">
        <f t="shared" si="82"/>
        <v>0</v>
      </c>
      <c r="BQ87" s="54">
        <f t="shared" si="97"/>
        <v>0</v>
      </c>
      <c r="BR87" s="57">
        <f t="shared" si="93"/>
        <v>0</v>
      </c>
      <c r="BS87" s="24">
        <f t="shared" si="84"/>
        <v>0</v>
      </c>
      <c r="BT87" s="54"/>
      <c r="BU87" s="54"/>
      <c r="BV87" s="54"/>
      <c r="BW87" s="54"/>
      <c r="BX87" s="54"/>
      <c r="BY87" s="54"/>
      <c r="BZ87" s="54"/>
      <c r="CA87" s="54"/>
      <c r="CB87" s="54"/>
      <c r="CC87" s="54"/>
      <c r="CD87" s="54"/>
      <c r="CE87" s="54"/>
      <c r="CF87" s="54"/>
      <c r="CG87" s="54"/>
      <c r="CH87" s="54"/>
      <c r="CI87" s="54"/>
      <c r="CJ87" s="54"/>
      <c r="CK87" s="54"/>
      <c r="CL87" s="54"/>
      <c r="CM87" s="54"/>
      <c r="CN87" s="57">
        <f t="shared" si="77"/>
        <v>1</v>
      </c>
      <c r="CO87" s="24">
        <f t="shared" si="85"/>
        <v>6000000</v>
      </c>
      <c r="CP87" s="24">
        <f t="shared" si="101"/>
        <v>0</v>
      </c>
      <c r="CQ87" s="54">
        <f t="shared" si="101"/>
        <v>0</v>
      </c>
      <c r="CR87" s="24">
        <f t="shared" si="101"/>
        <v>0</v>
      </c>
      <c r="CS87" s="54">
        <f t="shared" si="101"/>
        <v>6000000</v>
      </c>
      <c r="CT87" s="54">
        <f t="shared" si="101"/>
        <v>0</v>
      </c>
      <c r="CU87" s="24">
        <f t="shared" si="101"/>
        <v>0</v>
      </c>
      <c r="CV87" s="54">
        <f t="shared" si="106"/>
        <v>0</v>
      </c>
      <c r="CW87" s="54">
        <f t="shared" si="106"/>
        <v>0</v>
      </c>
      <c r="CX87" s="24">
        <f t="shared" si="106"/>
        <v>0</v>
      </c>
      <c r="CY87" s="54">
        <f t="shared" si="88"/>
        <v>0</v>
      </c>
      <c r="CZ87" s="54">
        <f t="shared" si="88"/>
        <v>0</v>
      </c>
      <c r="DA87" s="54">
        <f t="shared" si="88"/>
        <v>0</v>
      </c>
      <c r="DB87" s="54">
        <f>T87-CG87</f>
        <v>0</v>
      </c>
      <c r="DC87" s="54">
        <f>U87-CH87</f>
        <v>0</v>
      </c>
      <c r="DD87" s="54">
        <f>V87-CI87</f>
        <v>0</v>
      </c>
      <c r="DE87" s="54"/>
      <c r="DF87" s="54">
        <f>X87-CK87</f>
        <v>0</v>
      </c>
      <c r="DG87" s="54">
        <f>Y87-CL87</f>
        <v>0</v>
      </c>
      <c r="DH87" s="54">
        <f>Z87-CM87</f>
        <v>0</v>
      </c>
      <c r="DJ87" s="77"/>
      <c r="DK87" s="77"/>
      <c r="DL87" s="196">
        <f t="shared" si="104"/>
        <v>6000000</v>
      </c>
      <c r="DM87" s="197">
        <f t="shared" si="105"/>
        <v>0</v>
      </c>
      <c r="DN87" s="198">
        <f t="shared" si="72"/>
        <v>0</v>
      </c>
    </row>
    <row r="88" spans="1:118" ht="33" hidden="1" customHeight="1" x14ac:dyDescent="0.25">
      <c r="A88" s="229"/>
      <c r="B88" s="231" t="s">
        <v>250</v>
      </c>
      <c r="C88" s="20" t="s">
        <v>251</v>
      </c>
      <c r="D88" s="21" t="s">
        <v>252</v>
      </c>
      <c r="E88" s="22">
        <v>520</v>
      </c>
      <c r="F88" s="67" t="s">
        <v>91</v>
      </c>
      <c r="G88" s="24">
        <f t="shared" si="78"/>
        <v>33106800</v>
      </c>
      <c r="H88" s="33"/>
      <c r="I88" s="24"/>
      <c r="J88" s="24"/>
      <c r="K88" s="56">
        <v>33106800</v>
      </c>
      <c r="L88" s="33"/>
      <c r="M88" s="33"/>
      <c r="N88" s="33"/>
      <c r="O88" s="33"/>
      <c r="P88" s="33"/>
      <c r="Q88" s="28"/>
      <c r="R88" s="33"/>
      <c r="S88" s="45"/>
      <c r="T88" s="24"/>
      <c r="U88" s="24"/>
      <c r="V88" s="24"/>
      <c r="W88" s="24"/>
      <c r="X88" s="24"/>
      <c r="Y88" s="24"/>
      <c r="Z88" s="24"/>
      <c r="AA88" s="25">
        <f t="shared" si="92"/>
        <v>1</v>
      </c>
      <c r="AB88" s="24">
        <f t="shared" si="91"/>
        <v>33106800</v>
      </c>
      <c r="AC88" s="24"/>
      <c r="AD88" s="24"/>
      <c r="AE88" s="24"/>
      <c r="AF88" s="24"/>
      <c r="AG88" s="24">
        <f>+'[2]ENERO 2016'!$O$848</f>
        <v>33106800</v>
      </c>
      <c r="AH88" s="24"/>
      <c r="AI88" s="24"/>
      <c r="AJ88" s="24"/>
      <c r="AK88" s="24"/>
      <c r="AL88" s="24"/>
      <c r="AM88" s="24"/>
      <c r="AN88" s="24"/>
      <c r="AO88" s="24"/>
      <c r="AP88" s="24"/>
      <c r="AQ88" s="24"/>
      <c r="AR88" s="24"/>
      <c r="AS88" s="24"/>
      <c r="AT88" s="24"/>
      <c r="AU88" s="24"/>
      <c r="AV88" s="24"/>
      <c r="AW88" s="25">
        <f t="shared" si="94"/>
        <v>0</v>
      </c>
      <c r="AX88" s="24">
        <f t="shared" si="79"/>
        <v>0</v>
      </c>
      <c r="AY88" s="24">
        <f t="shared" si="80"/>
        <v>0</v>
      </c>
      <c r="AZ88" s="24">
        <f t="shared" si="80"/>
        <v>0</v>
      </c>
      <c r="BA88" s="24">
        <f t="shared" si="80"/>
        <v>0</v>
      </c>
      <c r="BB88" s="24">
        <f t="shared" si="96"/>
        <v>0</v>
      </c>
      <c r="BC88" s="24">
        <f t="shared" si="96"/>
        <v>0</v>
      </c>
      <c r="BD88" s="24">
        <f t="shared" si="96"/>
        <v>0</v>
      </c>
      <c r="BE88" s="54">
        <f t="shared" si="96"/>
        <v>0</v>
      </c>
      <c r="BF88" s="24">
        <f t="shared" si="96"/>
        <v>0</v>
      </c>
      <c r="BG88" s="24">
        <f t="shared" si="96"/>
        <v>0</v>
      </c>
      <c r="BH88" s="24">
        <f t="shared" si="96"/>
        <v>0</v>
      </c>
      <c r="BI88" s="24">
        <f t="shared" si="96"/>
        <v>0</v>
      </c>
      <c r="BJ88" s="24">
        <f t="shared" si="96"/>
        <v>0</v>
      </c>
      <c r="BK88" s="24">
        <f t="shared" si="96"/>
        <v>0</v>
      </c>
      <c r="BL88" s="24">
        <f t="shared" si="96"/>
        <v>0</v>
      </c>
      <c r="BM88" s="24">
        <f t="shared" si="96"/>
        <v>0</v>
      </c>
      <c r="BN88" s="24"/>
      <c r="BO88" s="24"/>
      <c r="BP88" s="24">
        <f t="shared" si="82"/>
        <v>0</v>
      </c>
      <c r="BQ88" s="24">
        <f t="shared" si="97"/>
        <v>0</v>
      </c>
      <c r="BR88" s="25">
        <f t="shared" si="93"/>
        <v>0.98600347964768564</v>
      </c>
      <c r="BS88" s="24">
        <f t="shared" si="84"/>
        <v>32643420</v>
      </c>
      <c r="BT88" s="24"/>
      <c r="BU88" s="24"/>
      <c r="BV88" s="24"/>
      <c r="BW88" s="24"/>
      <c r="BX88" s="24">
        <f>+'[1]SEPTIEMBRE 2016'!$H$3539</f>
        <v>32643420</v>
      </c>
      <c r="BY88" s="24"/>
      <c r="BZ88" s="24"/>
      <c r="CA88" s="24"/>
      <c r="CB88" s="24"/>
      <c r="CC88" s="24"/>
      <c r="CD88" s="24"/>
      <c r="CE88" s="24"/>
      <c r="CF88" s="24"/>
      <c r="CG88" s="24"/>
      <c r="CH88" s="24"/>
      <c r="CI88" s="24"/>
      <c r="CJ88" s="24"/>
      <c r="CK88" s="24"/>
      <c r="CL88" s="24"/>
      <c r="CM88" s="24"/>
      <c r="CN88" s="57">
        <f t="shared" si="77"/>
        <v>1.3996520352314357E-2</v>
      </c>
      <c r="CO88" s="24">
        <f t="shared" si="85"/>
        <v>463380</v>
      </c>
      <c r="CP88" s="24">
        <f t="shared" si="101"/>
        <v>0</v>
      </c>
      <c r="CQ88" s="54">
        <f t="shared" si="101"/>
        <v>0</v>
      </c>
      <c r="CR88" s="24">
        <f t="shared" si="101"/>
        <v>0</v>
      </c>
      <c r="CS88" s="24">
        <f t="shared" si="101"/>
        <v>463380</v>
      </c>
      <c r="CT88" s="54">
        <f t="shared" si="101"/>
        <v>0</v>
      </c>
      <c r="CU88" s="24">
        <f t="shared" si="101"/>
        <v>0</v>
      </c>
      <c r="CV88" s="54">
        <f t="shared" si="106"/>
        <v>0</v>
      </c>
      <c r="CW88" s="54">
        <f t="shared" si="106"/>
        <v>0</v>
      </c>
      <c r="CX88" s="24">
        <f t="shared" si="106"/>
        <v>0</v>
      </c>
      <c r="CY88" s="54">
        <f t="shared" si="88"/>
        <v>0</v>
      </c>
      <c r="CZ88" s="24">
        <f t="shared" si="88"/>
        <v>0</v>
      </c>
      <c r="DA88" s="24">
        <f t="shared" si="88"/>
        <v>0</v>
      </c>
      <c r="DB88" s="24">
        <f t="shared" ref="DB88:DD90" si="107">+T88-CG88</f>
        <v>0</v>
      </c>
      <c r="DC88" s="24">
        <f t="shared" si="107"/>
        <v>0</v>
      </c>
      <c r="DD88" s="24">
        <f t="shared" si="107"/>
        <v>0</v>
      </c>
      <c r="DE88" s="24"/>
      <c r="DF88" s="24">
        <f>+X88-CK88</f>
        <v>0</v>
      </c>
      <c r="DG88" s="54">
        <f>Y88-CL88</f>
        <v>0</v>
      </c>
      <c r="DH88" s="24">
        <f>+Z88-CM88</f>
        <v>0</v>
      </c>
      <c r="DJ88" s="77"/>
      <c r="DK88" s="77"/>
      <c r="DL88" s="196">
        <f t="shared" si="104"/>
        <v>33106800</v>
      </c>
      <c r="DM88" s="197">
        <f t="shared" si="105"/>
        <v>32643420</v>
      </c>
      <c r="DN88" s="198">
        <f t="shared" si="72"/>
        <v>0.98600347964768564</v>
      </c>
    </row>
    <row r="89" spans="1:118" ht="19.5" hidden="1" customHeight="1" x14ac:dyDescent="0.25">
      <c r="A89" s="229"/>
      <c r="B89" s="232"/>
      <c r="C89" s="20" t="s">
        <v>253</v>
      </c>
      <c r="D89" s="21" t="s">
        <v>254</v>
      </c>
      <c r="E89" s="22">
        <v>520</v>
      </c>
      <c r="F89" s="67" t="s">
        <v>91</v>
      </c>
      <c r="G89" s="24">
        <f t="shared" si="78"/>
        <v>15184000</v>
      </c>
      <c r="H89" s="33"/>
      <c r="I89" s="24"/>
      <c r="J89" s="24"/>
      <c r="K89" s="56">
        <v>15184000</v>
      </c>
      <c r="L89" s="33"/>
      <c r="M89" s="33"/>
      <c r="N89" s="33"/>
      <c r="O89" s="33"/>
      <c r="P89" s="33"/>
      <c r="Q89" s="28"/>
      <c r="R89" s="33"/>
      <c r="S89" s="45"/>
      <c r="T89" s="24"/>
      <c r="U89" s="24"/>
      <c r="V89" s="24"/>
      <c r="W89" s="24"/>
      <c r="X89" s="24"/>
      <c r="Y89" s="24"/>
      <c r="Z89" s="24"/>
      <c r="AA89" s="25">
        <f t="shared" si="92"/>
        <v>1</v>
      </c>
      <c r="AB89" s="24">
        <f t="shared" si="91"/>
        <v>15184000</v>
      </c>
      <c r="AC89" s="24"/>
      <c r="AD89" s="24"/>
      <c r="AE89" s="24"/>
      <c r="AF89" s="24"/>
      <c r="AG89" s="24">
        <f>+'[2]ENERO 2016'!$O$854</f>
        <v>15184000</v>
      </c>
      <c r="AH89" s="24"/>
      <c r="AI89" s="24"/>
      <c r="AJ89" s="24"/>
      <c r="AK89" s="24"/>
      <c r="AL89" s="24"/>
      <c r="AM89" s="24"/>
      <c r="AN89" s="24"/>
      <c r="AO89" s="24"/>
      <c r="AP89" s="24"/>
      <c r="AQ89" s="24"/>
      <c r="AR89" s="24"/>
      <c r="AS89" s="24"/>
      <c r="AT89" s="24"/>
      <c r="AU89" s="24"/>
      <c r="AV89" s="24"/>
      <c r="AW89" s="25">
        <f t="shared" si="94"/>
        <v>0</v>
      </c>
      <c r="AX89" s="24">
        <f t="shared" si="79"/>
        <v>0</v>
      </c>
      <c r="AY89" s="24">
        <f t="shared" si="80"/>
        <v>0</v>
      </c>
      <c r="AZ89" s="24">
        <f t="shared" si="80"/>
        <v>0</v>
      </c>
      <c r="BA89" s="24">
        <f t="shared" si="80"/>
        <v>0</v>
      </c>
      <c r="BB89" s="24">
        <f t="shared" ref="BB89:BM92" si="108">+K89-AG89</f>
        <v>0</v>
      </c>
      <c r="BC89" s="24">
        <f t="shared" si="108"/>
        <v>0</v>
      </c>
      <c r="BD89" s="24">
        <f t="shared" si="108"/>
        <v>0</v>
      </c>
      <c r="BE89" s="54">
        <f t="shared" si="108"/>
        <v>0</v>
      </c>
      <c r="BF89" s="24">
        <f t="shared" si="108"/>
        <v>0</v>
      </c>
      <c r="BG89" s="24">
        <f t="shared" si="108"/>
        <v>0</v>
      </c>
      <c r="BH89" s="24">
        <f t="shared" si="108"/>
        <v>0</v>
      </c>
      <c r="BI89" s="24">
        <f t="shared" si="108"/>
        <v>0</v>
      </c>
      <c r="BJ89" s="24">
        <f t="shared" si="108"/>
        <v>0</v>
      </c>
      <c r="BK89" s="24">
        <f t="shared" si="108"/>
        <v>0</v>
      </c>
      <c r="BL89" s="24">
        <f t="shared" si="108"/>
        <v>0</v>
      </c>
      <c r="BM89" s="24">
        <f t="shared" si="108"/>
        <v>0</v>
      </c>
      <c r="BN89" s="24"/>
      <c r="BO89" s="24"/>
      <c r="BP89" s="24">
        <f t="shared" si="82"/>
        <v>0</v>
      </c>
      <c r="BQ89" s="24">
        <f t="shared" si="97"/>
        <v>0</v>
      </c>
      <c r="BR89" s="25">
        <f t="shared" si="93"/>
        <v>0.44197892518440463</v>
      </c>
      <c r="BS89" s="24">
        <f t="shared" si="84"/>
        <v>6711008</v>
      </c>
      <c r="BT89" s="24"/>
      <c r="BU89" s="24"/>
      <c r="BV89" s="24"/>
      <c r="BW89" s="24"/>
      <c r="BX89" s="24">
        <f>+'[1]SEPTIEMBRE 2016'!$H$3548</f>
        <v>6711008</v>
      </c>
      <c r="BY89" s="24"/>
      <c r="BZ89" s="24"/>
      <c r="CA89" s="24"/>
      <c r="CB89" s="24"/>
      <c r="CC89" s="24"/>
      <c r="CD89" s="24"/>
      <c r="CE89" s="24"/>
      <c r="CF89" s="24"/>
      <c r="CG89" s="24"/>
      <c r="CH89" s="24"/>
      <c r="CI89" s="24"/>
      <c r="CJ89" s="24"/>
      <c r="CK89" s="24"/>
      <c r="CL89" s="24"/>
      <c r="CM89" s="24"/>
      <c r="CN89" s="57">
        <f t="shared" si="77"/>
        <v>0.55802107481559537</v>
      </c>
      <c r="CO89" s="24">
        <f t="shared" si="85"/>
        <v>8472992</v>
      </c>
      <c r="CP89" s="24">
        <f t="shared" si="101"/>
        <v>0</v>
      </c>
      <c r="CQ89" s="54">
        <f t="shared" si="101"/>
        <v>0</v>
      </c>
      <c r="CR89" s="24">
        <f t="shared" si="101"/>
        <v>0</v>
      </c>
      <c r="CS89" s="24">
        <f t="shared" si="101"/>
        <v>8472992</v>
      </c>
      <c r="CT89" s="54">
        <f t="shared" si="101"/>
        <v>0</v>
      </c>
      <c r="CU89" s="24">
        <f t="shared" si="101"/>
        <v>0</v>
      </c>
      <c r="CV89" s="54">
        <f t="shared" si="106"/>
        <v>0</v>
      </c>
      <c r="CW89" s="54">
        <f t="shared" si="106"/>
        <v>0</v>
      </c>
      <c r="CX89" s="24">
        <f t="shared" si="106"/>
        <v>0</v>
      </c>
      <c r="CY89" s="54">
        <f t="shared" si="88"/>
        <v>0</v>
      </c>
      <c r="CZ89" s="24">
        <f t="shared" si="88"/>
        <v>0</v>
      </c>
      <c r="DA89" s="24">
        <f t="shared" si="88"/>
        <v>0</v>
      </c>
      <c r="DB89" s="24">
        <f t="shared" si="107"/>
        <v>0</v>
      </c>
      <c r="DC89" s="24">
        <f t="shared" si="107"/>
        <v>0</v>
      </c>
      <c r="DD89" s="24">
        <f t="shared" si="107"/>
        <v>0</v>
      </c>
      <c r="DE89" s="24"/>
      <c r="DF89" s="24">
        <f>+X89-CK89</f>
        <v>0</v>
      </c>
      <c r="DG89" s="54">
        <f>Y89-CL89</f>
        <v>0</v>
      </c>
      <c r="DH89" s="24">
        <f>+Z89-CM89</f>
        <v>0</v>
      </c>
      <c r="DJ89" s="77"/>
      <c r="DK89" s="77"/>
      <c r="DL89" s="196">
        <f t="shared" si="104"/>
        <v>15184000</v>
      </c>
      <c r="DM89" s="197">
        <f t="shared" si="105"/>
        <v>6711008</v>
      </c>
      <c r="DN89" s="198">
        <f t="shared" si="72"/>
        <v>0.44197892518440463</v>
      </c>
    </row>
    <row r="90" spans="1:118" ht="33.75" hidden="1" customHeight="1" x14ac:dyDescent="0.25">
      <c r="A90" s="229"/>
      <c r="B90" s="232"/>
      <c r="C90" s="20" t="s">
        <v>255</v>
      </c>
      <c r="D90" s="21" t="s">
        <v>256</v>
      </c>
      <c r="E90" s="22">
        <v>520</v>
      </c>
      <c r="F90" s="67" t="s">
        <v>91</v>
      </c>
      <c r="G90" s="24">
        <f t="shared" si="78"/>
        <v>17000000</v>
      </c>
      <c r="H90" s="33"/>
      <c r="I90" s="33"/>
      <c r="J90" s="33"/>
      <c r="K90" s="56">
        <v>16000000</v>
      </c>
      <c r="L90" s="33"/>
      <c r="M90" s="33"/>
      <c r="N90" s="33"/>
      <c r="O90" s="33"/>
      <c r="P90" s="33"/>
      <c r="Q90" s="28"/>
      <c r="R90" s="33"/>
      <c r="S90" s="56"/>
      <c r="T90" s="24"/>
      <c r="U90" s="24"/>
      <c r="V90" s="24"/>
      <c r="W90" s="24"/>
      <c r="X90" s="24"/>
      <c r="Y90" s="24"/>
      <c r="Z90" s="24">
        <f>1000000</f>
        <v>1000000</v>
      </c>
      <c r="AA90" s="25">
        <f t="shared" si="92"/>
        <v>0.65294117647058825</v>
      </c>
      <c r="AB90" s="24">
        <f t="shared" si="91"/>
        <v>11100000</v>
      </c>
      <c r="AC90" s="24"/>
      <c r="AD90" s="24"/>
      <c r="AE90" s="24"/>
      <c r="AF90" s="24"/>
      <c r="AG90" s="24">
        <f>+'[4]AGOSTO 2016'!$O$3040</f>
        <v>11100000</v>
      </c>
      <c r="AH90" s="24"/>
      <c r="AI90" s="24"/>
      <c r="AJ90" s="24"/>
      <c r="AK90" s="24"/>
      <c r="AL90" s="24"/>
      <c r="AM90" s="24"/>
      <c r="AN90" s="24"/>
      <c r="AO90" s="24"/>
      <c r="AP90" s="24"/>
      <c r="AQ90" s="24"/>
      <c r="AR90" s="24"/>
      <c r="AS90" s="24"/>
      <c r="AT90" s="24"/>
      <c r="AU90" s="24"/>
      <c r="AV90" s="24"/>
      <c r="AW90" s="25">
        <f t="shared" si="94"/>
        <v>0.34705882352941175</v>
      </c>
      <c r="AX90" s="24">
        <f t="shared" si="79"/>
        <v>5900000</v>
      </c>
      <c r="AY90" s="24">
        <f t="shared" si="80"/>
        <v>0</v>
      </c>
      <c r="AZ90" s="24">
        <f t="shared" si="80"/>
        <v>0</v>
      </c>
      <c r="BA90" s="24">
        <f t="shared" si="80"/>
        <v>0</v>
      </c>
      <c r="BB90" s="24">
        <f t="shared" si="108"/>
        <v>4900000</v>
      </c>
      <c r="BC90" s="24">
        <f t="shared" si="108"/>
        <v>0</v>
      </c>
      <c r="BD90" s="24">
        <f t="shared" si="108"/>
        <v>0</v>
      </c>
      <c r="BE90" s="54">
        <f t="shared" si="108"/>
        <v>0</v>
      </c>
      <c r="BF90" s="24">
        <f t="shared" si="108"/>
        <v>0</v>
      </c>
      <c r="BG90" s="24">
        <f t="shared" si="108"/>
        <v>0</v>
      </c>
      <c r="BH90" s="24">
        <f t="shared" si="108"/>
        <v>0</v>
      </c>
      <c r="BI90" s="24">
        <f t="shared" si="108"/>
        <v>0</v>
      </c>
      <c r="BJ90" s="24">
        <f t="shared" si="108"/>
        <v>0</v>
      </c>
      <c r="BK90" s="24">
        <f t="shared" si="108"/>
        <v>0</v>
      </c>
      <c r="BL90" s="24">
        <f t="shared" si="108"/>
        <v>0</v>
      </c>
      <c r="BM90" s="24">
        <f t="shared" si="108"/>
        <v>0</v>
      </c>
      <c r="BN90" s="24"/>
      <c r="BO90" s="24"/>
      <c r="BP90" s="24">
        <f t="shared" si="82"/>
        <v>0</v>
      </c>
      <c r="BQ90" s="24">
        <f t="shared" si="97"/>
        <v>1000000</v>
      </c>
      <c r="BR90" s="25">
        <f t="shared" si="93"/>
        <v>0.65294117647058825</v>
      </c>
      <c r="BS90" s="24">
        <f t="shared" si="84"/>
        <v>11100000</v>
      </c>
      <c r="BT90" s="24"/>
      <c r="BU90" s="24"/>
      <c r="BV90" s="24"/>
      <c r="BW90" s="24"/>
      <c r="BX90" s="24">
        <f>+'[1]SEPTIEMBRE 2016'!$H$3558</f>
        <v>11100000</v>
      </c>
      <c r="BY90" s="24"/>
      <c r="BZ90" s="24"/>
      <c r="CA90" s="24"/>
      <c r="CB90" s="24"/>
      <c r="CC90" s="24"/>
      <c r="CD90" s="24"/>
      <c r="CE90" s="24"/>
      <c r="CF90" s="24"/>
      <c r="CG90" s="24"/>
      <c r="CH90" s="24"/>
      <c r="CI90" s="24"/>
      <c r="CJ90" s="24"/>
      <c r="CK90" s="24"/>
      <c r="CL90" s="24"/>
      <c r="CM90" s="24"/>
      <c r="CN90" s="57">
        <f t="shared" si="77"/>
        <v>0.34705882352941175</v>
      </c>
      <c r="CO90" s="24">
        <f t="shared" si="85"/>
        <v>5900000</v>
      </c>
      <c r="CP90" s="24">
        <f t="shared" si="101"/>
        <v>0</v>
      </c>
      <c r="CQ90" s="54">
        <f t="shared" si="101"/>
        <v>0</v>
      </c>
      <c r="CR90" s="24">
        <f t="shared" si="101"/>
        <v>0</v>
      </c>
      <c r="CS90" s="24">
        <f t="shared" si="101"/>
        <v>4900000</v>
      </c>
      <c r="CT90" s="54">
        <f t="shared" si="101"/>
        <v>0</v>
      </c>
      <c r="CU90" s="24">
        <f t="shared" si="101"/>
        <v>0</v>
      </c>
      <c r="CV90" s="54">
        <f t="shared" si="106"/>
        <v>0</v>
      </c>
      <c r="CW90" s="54">
        <f t="shared" si="106"/>
        <v>0</v>
      </c>
      <c r="CX90" s="24">
        <f t="shared" si="106"/>
        <v>0</v>
      </c>
      <c r="CY90" s="54">
        <f t="shared" si="88"/>
        <v>0</v>
      </c>
      <c r="CZ90" s="24">
        <f t="shared" si="88"/>
        <v>0</v>
      </c>
      <c r="DA90" s="24">
        <f t="shared" si="88"/>
        <v>0</v>
      </c>
      <c r="DB90" s="24">
        <f t="shared" si="107"/>
        <v>0</v>
      </c>
      <c r="DC90" s="24">
        <f t="shared" si="107"/>
        <v>0</v>
      </c>
      <c r="DD90" s="24">
        <f t="shared" si="107"/>
        <v>0</v>
      </c>
      <c r="DE90" s="24"/>
      <c r="DF90" s="24">
        <f>+X90-CK90</f>
        <v>0</v>
      </c>
      <c r="DG90" s="54">
        <f>Y90-CL90</f>
        <v>0</v>
      </c>
      <c r="DH90" s="24">
        <f>+Z90-CM90</f>
        <v>1000000</v>
      </c>
      <c r="DJ90" s="77"/>
      <c r="DK90" s="77"/>
      <c r="DL90" s="196">
        <f t="shared" si="104"/>
        <v>17000000</v>
      </c>
      <c r="DM90" s="197">
        <f t="shared" si="105"/>
        <v>11100000</v>
      </c>
      <c r="DN90" s="198">
        <f t="shared" si="72"/>
        <v>0.65294117647058825</v>
      </c>
    </row>
    <row r="91" spans="1:118" ht="21" hidden="1" customHeight="1" x14ac:dyDescent="0.25">
      <c r="A91" s="229"/>
      <c r="B91" s="232"/>
      <c r="C91" s="69" t="s">
        <v>257</v>
      </c>
      <c r="D91" s="21" t="s">
        <v>258</v>
      </c>
      <c r="E91" s="22">
        <v>520</v>
      </c>
      <c r="F91" s="67" t="s">
        <v>91</v>
      </c>
      <c r="G91" s="24">
        <f t="shared" si="78"/>
        <v>270709200</v>
      </c>
      <c r="H91" s="70"/>
      <c r="I91" s="70"/>
      <c r="J91" s="70"/>
      <c r="K91" s="56">
        <v>35709200</v>
      </c>
      <c r="L91" s="70"/>
      <c r="M91" s="70"/>
      <c r="N91" s="70"/>
      <c r="O91" s="70"/>
      <c r="P91" s="70"/>
      <c r="Q91" s="71"/>
      <c r="R91" s="70"/>
      <c r="S91" s="56">
        <f>265000000-30000000</f>
        <v>235000000</v>
      </c>
      <c r="T91" s="72"/>
      <c r="U91" s="72"/>
      <c r="V91" s="72"/>
      <c r="W91" s="72"/>
      <c r="X91" s="72"/>
      <c r="Y91" s="72"/>
      <c r="Z91" s="72"/>
      <c r="AA91" s="25">
        <f t="shared" si="92"/>
        <v>1</v>
      </c>
      <c r="AB91" s="24">
        <f t="shared" si="91"/>
        <v>270709200</v>
      </c>
      <c r="AC91" s="72"/>
      <c r="AD91" s="72"/>
      <c r="AE91" s="72"/>
      <c r="AF91" s="72"/>
      <c r="AG91" s="72">
        <f>+'[2]ENERO 2016'!$O$864</f>
        <v>35709200</v>
      </c>
      <c r="AH91" s="72"/>
      <c r="AI91" s="72"/>
      <c r="AJ91" s="72"/>
      <c r="AK91" s="72"/>
      <c r="AL91" s="72"/>
      <c r="AM91" s="72"/>
      <c r="AN91" s="72"/>
      <c r="AO91" s="72">
        <f>+'[4]AGOSTO 2016'!$W$3047</f>
        <v>235000000</v>
      </c>
      <c r="AP91" s="72"/>
      <c r="AQ91" s="72"/>
      <c r="AR91" s="72"/>
      <c r="AS91" s="72"/>
      <c r="AT91" s="72"/>
      <c r="AU91" s="72"/>
      <c r="AV91" s="72"/>
      <c r="AW91" s="25">
        <f t="shared" si="94"/>
        <v>0</v>
      </c>
      <c r="AX91" s="24">
        <f t="shared" si="79"/>
        <v>0</v>
      </c>
      <c r="AY91" s="24">
        <f t="shared" si="80"/>
        <v>0</v>
      </c>
      <c r="AZ91" s="24">
        <f t="shared" si="80"/>
        <v>0</v>
      </c>
      <c r="BA91" s="24">
        <f t="shared" si="80"/>
        <v>0</v>
      </c>
      <c r="BB91" s="24">
        <f t="shared" si="108"/>
        <v>0</v>
      </c>
      <c r="BC91" s="24">
        <f t="shared" si="108"/>
        <v>0</v>
      </c>
      <c r="BD91" s="24">
        <f t="shared" si="108"/>
        <v>0</v>
      </c>
      <c r="BE91" s="54">
        <f t="shared" si="108"/>
        <v>0</v>
      </c>
      <c r="BF91" s="24">
        <f t="shared" si="108"/>
        <v>0</v>
      </c>
      <c r="BG91" s="24">
        <f t="shared" si="108"/>
        <v>0</v>
      </c>
      <c r="BH91" s="24">
        <f t="shared" si="108"/>
        <v>0</v>
      </c>
      <c r="BI91" s="24">
        <f t="shared" si="108"/>
        <v>0</v>
      </c>
      <c r="BJ91" s="24">
        <f t="shared" si="108"/>
        <v>0</v>
      </c>
      <c r="BK91" s="24">
        <f t="shared" si="108"/>
        <v>0</v>
      </c>
      <c r="BL91" s="24">
        <f t="shared" si="108"/>
        <v>0</v>
      </c>
      <c r="BM91" s="24">
        <f t="shared" si="108"/>
        <v>0</v>
      </c>
      <c r="BN91" s="24"/>
      <c r="BO91" s="24">
        <f>+X91-AT91</f>
        <v>0</v>
      </c>
      <c r="BP91" s="24">
        <f t="shared" si="82"/>
        <v>0</v>
      </c>
      <c r="BQ91" s="24">
        <f t="shared" si="97"/>
        <v>0</v>
      </c>
      <c r="BR91" s="25">
        <f t="shared" si="93"/>
        <v>0.99241533719578057</v>
      </c>
      <c r="BS91" s="24">
        <f t="shared" si="84"/>
        <v>268655962</v>
      </c>
      <c r="BT91" s="72"/>
      <c r="BU91" s="72"/>
      <c r="BV91" s="72"/>
      <c r="BW91" s="72"/>
      <c r="BX91" s="72">
        <f>+'[1]SEPTIEMBRE 2016'!$H$3568+'[1]SEPTIEMBRE 2016'!$H$3618</f>
        <v>33656412</v>
      </c>
      <c r="BY91" s="72"/>
      <c r="BZ91" s="72"/>
      <c r="CA91" s="72"/>
      <c r="CB91" s="72"/>
      <c r="CC91" s="72"/>
      <c r="CD91" s="72"/>
      <c r="CE91" s="72"/>
      <c r="CF91" s="72">
        <f>+'[1]SEPTIEMBRE 2016'!$H$3565-BX91</f>
        <v>234999550</v>
      </c>
      <c r="CG91" s="72"/>
      <c r="CH91" s="72"/>
      <c r="CI91" s="72"/>
      <c r="CJ91" s="72"/>
      <c r="CK91" s="72"/>
      <c r="CL91" s="72"/>
      <c r="CM91" s="72"/>
      <c r="CN91" s="57">
        <f t="shared" si="77"/>
        <v>7.5846628042194331E-3</v>
      </c>
      <c r="CO91" s="24">
        <f t="shared" si="85"/>
        <v>2053238</v>
      </c>
      <c r="CP91" s="24">
        <f t="shared" si="101"/>
        <v>0</v>
      </c>
      <c r="CQ91" s="54">
        <f t="shared" si="101"/>
        <v>0</v>
      </c>
      <c r="CR91" s="24">
        <f t="shared" si="101"/>
        <v>0</v>
      </c>
      <c r="CS91" s="24">
        <f t="shared" si="101"/>
        <v>2052788</v>
      </c>
      <c r="CT91" s="54">
        <f t="shared" si="101"/>
        <v>0</v>
      </c>
      <c r="CU91" s="24">
        <f t="shared" si="101"/>
        <v>0</v>
      </c>
      <c r="CV91" s="54">
        <f t="shared" si="106"/>
        <v>0</v>
      </c>
      <c r="CW91" s="54">
        <f t="shared" si="106"/>
        <v>0</v>
      </c>
      <c r="CX91" s="24">
        <f t="shared" si="106"/>
        <v>0</v>
      </c>
      <c r="CY91" s="54">
        <f t="shared" si="88"/>
        <v>0</v>
      </c>
      <c r="CZ91" s="54">
        <f t="shared" si="88"/>
        <v>0</v>
      </c>
      <c r="DA91" s="54">
        <f t="shared" si="88"/>
        <v>450</v>
      </c>
      <c r="DB91" s="54">
        <f>T91-CG91</f>
        <v>0</v>
      </c>
      <c r="DC91" s="54">
        <f>U91-CH91</f>
        <v>0</v>
      </c>
      <c r="DD91" s="54">
        <f>V91-CI91</f>
        <v>0</v>
      </c>
      <c r="DE91" s="54"/>
      <c r="DF91" s="54">
        <f>X91-CK91</f>
        <v>0</v>
      </c>
      <c r="DG91" s="54">
        <f>Y91-CL91</f>
        <v>0</v>
      </c>
      <c r="DH91" s="54">
        <f>Z91-CM91</f>
        <v>0</v>
      </c>
      <c r="DJ91" s="77" t="s">
        <v>407</v>
      </c>
      <c r="DK91" s="77"/>
      <c r="DL91" s="196">
        <f t="shared" si="104"/>
        <v>270709200</v>
      </c>
      <c r="DM91" s="197">
        <f t="shared" si="105"/>
        <v>268655962</v>
      </c>
      <c r="DN91" s="198">
        <f t="shared" si="72"/>
        <v>0.99241533719578057</v>
      </c>
    </row>
    <row r="92" spans="1:118" ht="69.75" hidden="1" customHeight="1" x14ac:dyDescent="0.25">
      <c r="A92" s="230"/>
      <c r="B92" s="233"/>
      <c r="C92" s="20" t="s">
        <v>259</v>
      </c>
      <c r="D92" s="21" t="s">
        <v>260</v>
      </c>
      <c r="E92" s="22">
        <v>520</v>
      </c>
      <c r="F92" s="23" t="s">
        <v>261</v>
      </c>
      <c r="G92" s="24">
        <f t="shared" si="78"/>
        <v>55451472</v>
      </c>
      <c r="H92" s="70"/>
      <c r="I92" s="70"/>
      <c r="J92" s="70"/>
      <c r="K92" s="70"/>
      <c r="L92" s="70"/>
      <c r="M92" s="70"/>
      <c r="N92" s="70"/>
      <c r="O92" s="70"/>
      <c r="P92" s="70"/>
      <c r="Q92" s="71"/>
      <c r="R92" s="70"/>
      <c r="S92" s="56"/>
      <c r="T92" s="72"/>
      <c r="U92" s="72"/>
      <c r="V92" s="72"/>
      <c r="W92" s="72"/>
      <c r="X92" s="72"/>
      <c r="Y92" s="72"/>
      <c r="Z92" s="72">
        <f>26599846+5000000+955598+1000000+3500000+3000000+10000000+5396028</f>
        <v>55451472</v>
      </c>
      <c r="AA92" s="25">
        <f t="shared" si="92"/>
        <v>0.72168206824157888</v>
      </c>
      <c r="AB92" s="24">
        <f t="shared" si="91"/>
        <v>40018333</v>
      </c>
      <c r="AC92" s="72"/>
      <c r="AD92" s="72"/>
      <c r="AE92" s="72"/>
      <c r="AF92" s="72"/>
      <c r="AG92" s="72"/>
      <c r="AH92" s="72"/>
      <c r="AI92" s="72"/>
      <c r="AJ92" s="72"/>
      <c r="AK92" s="72"/>
      <c r="AL92" s="72"/>
      <c r="AM92" s="72"/>
      <c r="AN92" s="72"/>
      <c r="AO92" s="72"/>
      <c r="AP92" s="72"/>
      <c r="AQ92" s="72"/>
      <c r="AR92" s="72"/>
      <c r="AS92" s="72"/>
      <c r="AT92" s="72"/>
      <c r="AU92" s="72"/>
      <c r="AV92" s="72">
        <f>+'[1]SEPTIEMBRE 2016'!$AG$3625</f>
        <v>40018333</v>
      </c>
      <c r="AW92" s="25">
        <f t="shared" si="94"/>
        <v>0.27831793175842112</v>
      </c>
      <c r="AX92" s="24">
        <f t="shared" si="79"/>
        <v>15433139</v>
      </c>
      <c r="AY92" s="24">
        <f t="shared" si="80"/>
        <v>0</v>
      </c>
      <c r="AZ92" s="24">
        <f t="shared" si="80"/>
        <v>0</v>
      </c>
      <c r="BA92" s="24">
        <f t="shared" si="80"/>
        <v>0</v>
      </c>
      <c r="BB92" s="24">
        <f t="shared" si="108"/>
        <v>0</v>
      </c>
      <c r="BC92" s="24">
        <f t="shared" si="108"/>
        <v>0</v>
      </c>
      <c r="BD92" s="24">
        <f t="shared" si="108"/>
        <v>0</v>
      </c>
      <c r="BE92" s="54">
        <f t="shared" si="108"/>
        <v>0</v>
      </c>
      <c r="BF92" s="24">
        <f t="shared" si="108"/>
        <v>0</v>
      </c>
      <c r="BG92" s="24">
        <f t="shared" si="108"/>
        <v>0</v>
      </c>
      <c r="BH92" s="24">
        <f t="shared" si="108"/>
        <v>0</v>
      </c>
      <c r="BI92" s="24">
        <f t="shared" si="108"/>
        <v>0</v>
      </c>
      <c r="BJ92" s="24">
        <f t="shared" si="108"/>
        <v>0</v>
      </c>
      <c r="BK92" s="24">
        <f t="shared" si="108"/>
        <v>0</v>
      </c>
      <c r="BL92" s="24">
        <f t="shared" si="108"/>
        <v>0</v>
      </c>
      <c r="BM92" s="24">
        <f t="shared" si="108"/>
        <v>0</v>
      </c>
      <c r="BN92" s="24"/>
      <c r="BO92" s="24">
        <f>+X92-AT92</f>
        <v>0</v>
      </c>
      <c r="BP92" s="24">
        <f t="shared" si="82"/>
        <v>0</v>
      </c>
      <c r="BQ92" s="24">
        <f t="shared" si="97"/>
        <v>15433139</v>
      </c>
      <c r="BR92" s="25">
        <f t="shared" si="93"/>
        <v>0.72168206824157888</v>
      </c>
      <c r="BS92" s="24">
        <f t="shared" si="84"/>
        <v>40018333</v>
      </c>
      <c r="BT92" s="72"/>
      <c r="BU92" s="72"/>
      <c r="BV92" s="72"/>
      <c r="BW92" s="72"/>
      <c r="BX92" s="72"/>
      <c r="BY92" s="72"/>
      <c r="BZ92" s="72"/>
      <c r="CA92" s="72"/>
      <c r="CB92" s="72"/>
      <c r="CC92" s="72"/>
      <c r="CD92" s="72"/>
      <c r="CE92" s="72"/>
      <c r="CF92" s="72"/>
      <c r="CG92" s="72"/>
      <c r="CH92" s="72"/>
      <c r="CI92" s="72"/>
      <c r="CJ92" s="72"/>
      <c r="CK92" s="72"/>
      <c r="CL92" s="72"/>
      <c r="CM92" s="72">
        <f>+'[1]SEPTIEMBRE 2016'!$AG$3625</f>
        <v>40018333</v>
      </c>
      <c r="CN92" s="57">
        <f t="shared" si="77"/>
        <v>0.27831793175842112</v>
      </c>
      <c r="CO92" s="24">
        <f t="shared" si="85"/>
        <v>15433139</v>
      </c>
      <c r="CP92" s="24">
        <f t="shared" si="101"/>
        <v>0</v>
      </c>
      <c r="CQ92" s="54">
        <f t="shared" si="101"/>
        <v>0</v>
      </c>
      <c r="CR92" s="24">
        <f t="shared" si="101"/>
        <v>0</v>
      </c>
      <c r="CS92" s="24">
        <f t="shared" si="101"/>
        <v>0</v>
      </c>
      <c r="CT92" s="54">
        <f t="shared" si="101"/>
        <v>0</v>
      </c>
      <c r="CU92" s="24">
        <f t="shared" si="101"/>
        <v>0</v>
      </c>
      <c r="CV92" s="54">
        <f t="shared" si="106"/>
        <v>0</v>
      </c>
      <c r="CW92" s="54">
        <f t="shared" si="106"/>
        <v>0</v>
      </c>
      <c r="CX92" s="24">
        <f t="shared" si="106"/>
        <v>0</v>
      </c>
      <c r="CY92" s="24">
        <f t="shared" si="106"/>
        <v>0</v>
      </c>
      <c r="CZ92" s="24">
        <f t="shared" si="106"/>
        <v>0</v>
      </c>
      <c r="DA92" s="24">
        <f t="shared" si="106"/>
        <v>0</v>
      </c>
      <c r="DB92" s="24">
        <f t="shared" si="106"/>
        <v>0</v>
      </c>
      <c r="DC92" s="24">
        <f t="shared" si="106"/>
        <v>0</v>
      </c>
      <c r="DD92" s="24">
        <f t="shared" si="106"/>
        <v>0</v>
      </c>
      <c r="DE92" s="24"/>
      <c r="DF92" s="24">
        <f>+X92-CK92</f>
        <v>0</v>
      </c>
      <c r="DG92" s="24">
        <f>+Y92-CL92</f>
        <v>0</v>
      </c>
      <c r="DH92" s="24">
        <f>+Z92-CM92</f>
        <v>15433139</v>
      </c>
      <c r="DJ92" s="77"/>
      <c r="DK92" s="77"/>
      <c r="DL92" s="196">
        <f t="shared" si="104"/>
        <v>55451472</v>
      </c>
      <c r="DM92" s="197">
        <f t="shared" si="105"/>
        <v>40018333</v>
      </c>
      <c r="DN92" s="198"/>
    </row>
    <row r="93" spans="1:118" s="43" customFormat="1" ht="20.25" customHeight="1" thickTop="1" thickBot="1" x14ac:dyDescent="0.3">
      <c r="A93" s="73"/>
      <c r="B93" s="288" t="s">
        <v>390</v>
      </c>
      <c r="C93" s="289"/>
      <c r="D93" s="289"/>
      <c r="E93" s="289"/>
      <c r="F93" s="293"/>
      <c r="G93" s="61">
        <f>SUM(G61:G92)</f>
        <v>1760134547</v>
      </c>
      <c r="H93" s="61">
        <f>SUM(H61:H92)</f>
        <v>0</v>
      </c>
      <c r="I93" s="61">
        <f>SUM(I61:I92)</f>
        <v>0</v>
      </c>
      <c r="J93" s="61">
        <f>SUM(J61:J90)</f>
        <v>0</v>
      </c>
      <c r="K93" s="61">
        <f>SUM(K61:K92)</f>
        <v>520000000</v>
      </c>
      <c r="L93" s="61">
        <f>SUM(L61:L92)</f>
        <v>50000000</v>
      </c>
      <c r="M93" s="61">
        <f t="shared" ref="M93:Z93" si="109">SUM(M61:M92)</f>
        <v>0</v>
      </c>
      <c r="N93" s="61">
        <f t="shared" si="109"/>
        <v>0</v>
      </c>
      <c r="O93" s="61">
        <f t="shared" si="109"/>
        <v>0</v>
      </c>
      <c r="P93" s="61">
        <f t="shared" si="109"/>
        <v>0</v>
      </c>
      <c r="Q93" s="61">
        <f t="shared" si="109"/>
        <v>0</v>
      </c>
      <c r="R93" s="61">
        <f t="shared" si="109"/>
        <v>244000000</v>
      </c>
      <c r="S93" s="61">
        <f t="shared" si="109"/>
        <v>333901442</v>
      </c>
      <c r="T93" s="61">
        <f t="shared" si="109"/>
        <v>0</v>
      </c>
      <c r="U93" s="61">
        <f t="shared" si="109"/>
        <v>0</v>
      </c>
      <c r="V93" s="61">
        <f t="shared" si="109"/>
        <v>0</v>
      </c>
      <c r="W93" s="61">
        <f t="shared" si="109"/>
        <v>0</v>
      </c>
      <c r="X93" s="61">
        <f t="shared" si="109"/>
        <v>0</v>
      </c>
      <c r="Y93" s="61">
        <f t="shared" si="109"/>
        <v>0</v>
      </c>
      <c r="Z93" s="61">
        <f t="shared" si="109"/>
        <v>612233105</v>
      </c>
      <c r="AA93" s="39">
        <f t="shared" si="92"/>
        <v>0.83588880890251627</v>
      </c>
      <c r="AB93" s="61">
        <f>SUM(AB61:AB92)</f>
        <v>1471276770</v>
      </c>
      <c r="AC93" s="61"/>
      <c r="AD93" s="61">
        <f t="shared" ref="AD93:AV93" si="110">SUM(AD61:AD92)</f>
        <v>0</v>
      </c>
      <c r="AE93" s="61">
        <f t="shared" si="110"/>
        <v>0</v>
      </c>
      <c r="AF93" s="61">
        <f t="shared" si="110"/>
        <v>0</v>
      </c>
      <c r="AG93" s="61">
        <f t="shared" si="110"/>
        <v>396302174</v>
      </c>
      <c r="AH93" s="61">
        <f t="shared" si="110"/>
        <v>49797725</v>
      </c>
      <c r="AI93" s="61">
        <f t="shared" si="110"/>
        <v>0</v>
      </c>
      <c r="AJ93" s="61">
        <f t="shared" si="110"/>
        <v>0</v>
      </c>
      <c r="AK93" s="61">
        <f t="shared" si="110"/>
        <v>0</v>
      </c>
      <c r="AL93" s="61">
        <f t="shared" si="110"/>
        <v>0</v>
      </c>
      <c r="AM93" s="61">
        <f t="shared" si="110"/>
        <v>0</v>
      </c>
      <c r="AN93" s="61">
        <f t="shared" si="110"/>
        <v>187101991</v>
      </c>
      <c r="AO93" s="61">
        <f t="shared" si="110"/>
        <v>292539894</v>
      </c>
      <c r="AP93" s="61">
        <f t="shared" si="110"/>
        <v>0</v>
      </c>
      <c r="AQ93" s="61">
        <f t="shared" si="110"/>
        <v>0</v>
      </c>
      <c r="AR93" s="61">
        <f t="shared" si="110"/>
        <v>0</v>
      </c>
      <c r="AS93" s="61">
        <f t="shared" si="110"/>
        <v>0</v>
      </c>
      <c r="AT93" s="61">
        <f t="shared" si="110"/>
        <v>0</v>
      </c>
      <c r="AU93" s="61">
        <f t="shared" si="110"/>
        <v>0</v>
      </c>
      <c r="AV93" s="61">
        <f t="shared" si="110"/>
        <v>545534986</v>
      </c>
      <c r="AW93" s="39">
        <f t="shared" si="94"/>
        <v>0.16411119109748373</v>
      </c>
      <c r="AX93" s="61">
        <f>SUM(AX61:AX92)</f>
        <v>288857777</v>
      </c>
      <c r="AY93" s="61">
        <f t="shared" ref="AY93:BQ93" si="111">SUM(AY61:AY92)</f>
        <v>0</v>
      </c>
      <c r="AZ93" s="61">
        <f t="shared" si="111"/>
        <v>0</v>
      </c>
      <c r="BA93" s="61">
        <f t="shared" si="111"/>
        <v>0</v>
      </c>
      <c r="BB93" s="61">
        <f t="shared" si="111"/>
        <v>123697826</v>
      </c>
      <c r="BC93" s="61">
        <f t="shared" si="111"/>
        <v>202275</v>
      </c>
      <c r="BD93" s="61">
        <f t="shared" si="111"/>
        <v>0</v>
      </c>
      <c r="BE93" s="61">
        <f t="shared" si="111"/>
        <v>0</v>
      </c>
      <c r="BF93" s="61">
        <f t="shared" si="111"/>
        <v>0</v>
      </c>
      <c r="BG93" s="61">
        <f t="shared" si="111"/>
        <v>0</v>
      </c>
      <c r="BH93" s="61">
        <f t="shared" si="111"/>
        <v>0</v>
      </c>
      <c r="BI93" s="61">
        <f t="shared" si="111"/>
        <v>56898009</v>
      </c>
      <c r="BJ93" s="61">
        <f t="shared" si="111"/>
        <v>41361548</v>
      </c>
      <c r="BK93" s="61">
        <f t="shared" si="111"/>
        <v>0</v>
      </c>
      <c r="BL93" s="61">
        <f t="shared" si="111"/>
        <v>0</v>
      </c>
      <c r="BM93" s="61">
        <f t="shared" si="111"/>
        <v>0</v>
      </c>
      <c r="BN93" s="61">
        <f t="shared" si="111"/>
        <v>0</v>
      </c>
      <c r="BO93" s="61">
        <f t="shared" si="111"/>
        <v>0</v>
      </c>
      <c r="BP93" s="61">
        <f t="shared" si="111"/>
        <v>0</v>
      </c>
      <c r="BQ93" s="61">
        <f t="shared" si="111"/>
        <v>66698119</v>
      </c>
      <c r="BR93" s="39">
        <f t="shared" si="93"/>
        <v>0.80967760358379015</v>
      </c>
      <c r="BS93" s="61">
        <f t="shared" ref="BS93:CI93" si="112">SUM(BS61:BS92)</f>
        <v>1425141522</v>
      </c>
      <c r="BT93" s="61">
        <f t="shared" si="112"/>
        <v>0</v>
      </c>
      <c r="BU93" s="61">
        <f t="shared" si="112"/>
        <v>0</v>
      </c>
      <c r="BV93" s="61">
        <f t="shared" si="112"/>
        <v>0</v>
      </c>
      <c r="BW93" s="61">
        <f t="shared" si="112"/>
        <v>0</v>
      </c>
      <c r="BX93" s="61">
        <f t="shared" si="112"/>
        <v>363309545</v>
      </c>
      <c r="BY93" s="61">
        <f t="shared" si="112"/>
        <v>49797725</v>
      </c>
      <c r="BZ93" s="61">
        <f t="shared" si="112"/>
        <v>0</v>
      </c>
      <c r="CA93" s="61">
        <f t="shared" si="112"/>
        <v>0</v>
      </c>
      <c r="CB93" s="61">
        <f t="shared" si="112"/>
        <v>0</v>
      </c>
      <c r="CC93" s="61">
        <f t="shared" si="112"/>
        <v>0</v>
      </c>
      <c r="CD93" s="61">
        <f t="shared" si="112"/>
        <v>0</v>
      </c>
      <c r="CE93" s="61">
        <f t="shared" si="112"/>
        <v>185375614</v>
      </c>
      <c r="CF93" s="61">
        <f t="shared" si="112"/>
        <v>289592456</v>
      </c>
      <c r="CG93" s="61">
        <f t="shared" si="112"/>
        <v>0</v>
      </c>
      <c r="CH93" s="61">
        <f t="shared" si="112"/>
        <v>0</v>
      </c>
      <c r="CI93" s="61">
        <f t="shared" si="112"/>
        <v>0</v>
      </c>
      <c r="CJ93" s="61"/>
      <c r="CK93" s="61">
        <f>SUM(CK61:CK92)</f>
        <v>0</v>
      </c>
      <c r="CL93" s="61">
        <f>SUM(CL61:CL92)</f>
        <v>0</v>
      </c>
      <c r="CM93" s="61">
        <f>SUM(CM61:CM92)</f>
        <v>537066182</v>
      </c>
      <c r="CN93" s="39">
        <f t="shared" si="77"/>
        <v>0.19032239641620985</v>
      </c>
      <c r="CO93" s="61">
        <f t="shared" ref="CO93:DH93" si="113">SUM(CO61:CO92)</f>
        <v>334993025</v>
      </c>
      <c r="CP93" s="61">
        <f t="shared" si="113"/>
        <v>0</v>
      </c>
      <c r="CQ93" s="61">
        <f t="shared" si="113"/>
        <v>0</v>
      </c>
      <c r="CR93" s="61">
        <f t="shared" si="113"/>
        <v>0</v>
      </c>
      <c r="CS93" s="61">
        <f t="shared" si="113"/>
        <v>156690455</v>
      </c>
      <c r="CT93" s="61">
        <f t="shared" si="113"/>
        <v>202275</v>
      </c>
      <c r="CU93" s="61">
        <f t="shared" si="113"/>
        <v>0</v>
      </c>
      <c r="CV93" s="61">
        <f t="shared" si="113"/>
        <v>0</v>
      </c>
      <c r="CW93" s="61">
        <f t="shared" si="113"/>
        <v>0</v>
      </c>
      <c r="CX93" s="61">
        <f t="shared" si="113"/>
        <v>0</v>
      </c>
      <c r="CY93" s="61">
        <f t="shared" si="113"/>
        <v>0</v>
      </c>
      <c r="CZ93" s="61">
        <f t="shared" si="113"/>
        <v>58624386</v>
      </c>
      <c r="DA93" s="61">
        <f t="shared" si="113"/>
        <v>44308986</v>
      </c>
      <c r="DB93" s="61">
        <f t="shared" si="113"/>
        <v>0</v>
      </c>
      <c r="DC93" s="61">
        <f t="shared" si="113"/>
        <v>0</v>
      </c>
      <c r="DD93" s="61">
        <f t="shared" si="113"/>
        <v>0</v>
      </c>
      <c r="DE93" s="61">
        <f t="shared" si="113"/>
        <v>0</v>
      </c>
      <c r="DF93" s="61">
        <f t="shared" si="113"/>
        <v>0</v>
      </c>
      <c r="DG93" s="61">
        <f t="shared" si="113"/>
        <v>0</v>
      </c>
      <c r="DH93" s="61">
        <f t="shared" si="113"/>
        <v>75166923</v>
      </c>
      <c r="DJ93" s="77" t="s">
        <v>407</v>
      </c>
      <c r="DK93" s="77"/>
      <c r="DL93" s="196">
        <f t="shared" si="104"/>
        <v>1760134547</v>
      </c>
      <c r="DM93" s="197">
        <f t="shared" si="105"/>
        <v>1425141522</v>
      </c>
      <c r="DN93" s="198">
        <f t="shared" si="72"/>
        <v>0.80967760358379015</v>
      </c>
    </row>
    <row r="94" spans="1:118" ht="6" hidden="1" customHeight="1" thickTop="1" x14ac:dyDescent="0.25">
      <c r="B94" s="74"/>
      <c r="C94" s="75"/>
      <c r="D94" s="76"/>
      <c r="E94" s="77"/>
      <c r="F94" s="78"/>
      <c r="G94" s="79"/>
      <c r="H94" s="79"/>
      <c r="I94" s="79"/>
      <c r="J94" s="79"/>
      <c r="K94" s="80"/>
      <c r="M94" s="80"/>
      <c r="N94" s="80"/>
      <c r="O94" s="80"/>
      <c r="P94" s="80"/>
      <c r="Q94" s="80"/>
      <c r="R94" s="80"/>
      <c r="S94" s="80"/>
      <c r="T94" s="80"/>
      <c r="U94" s="80"/>
      <c r="V94" s="80"/>
      <c r="W94" s="80"/>
      <c r="X94" s="80"/>
      <c r="Y94" s="80"/>
      <c r="Z94" s="80"/>
      <c r="AA94" s="81"/>
      <c r="AB94" s="82"/>
      <c r="AC94" s="82"/>
      <c r="AD94" s="82"/>
      <c r="AE94" s="82"/>
      <c r="AF94" s="82"/>
      <c r="AG94" s="83"/>
      <c r="AH94" s="83"/>
      <c r="AI94" s="83"/>
      <c r="AJ94" s="83"/>
      <c r="AK94" s="83"/>
      <c r="AL94" s="83"/>
      <c r="AM94" s="83"/>
      <c r="AN94" s="83"/>
      <c r="AO94" s="83"/>
      <c r="AP94" s="83"/>
      <c r="AQ94" s="83"/>
      <c r="AR94" s="83"/>
      <c r="AS94" s="83"/>
      <c r="AT94" s="83"/>
      <c r="AU94" s="83"/>
      <c r="AV94" s="83"/>
      <c r="AW94" s="84"/>
      <c r="AX94" s="82"/>
      <c r="AY94" s="82"/>
      <c r="AZ94" s="82"/>
      <c r="BA94" s="82"/>
      <c r="BB94" s="85"/>
      <c r="BC94" s="85"/>
      <c r="BD94" s="85"/>
      <c r="BE94" s="85"/>
      <c r="BF94" s="85"/>
      <c r="BG94" s="85"/>
      <c r="BH94" s="85"/>
      <c r="BI94" s="85"/>
      <c r="BJ94" s="85"/>
      <c r="BK94" s="85"/>
      <c r="BL94" s="85"/>
      <c r="BM94" s="85"/>
      <c r="BN94" s="85"/>
      <c r="BO94" s="85"/>
      <c r="BP94" s="85"/>
      <c r="BQ94" s="85"/>
      <c r="BR94" s="84"/>
      <c r="BS94" s="82"/>
      <c r="BT94" s="82"/>
      <c r="BU94" s="82"/>
      <c r="BV94" s="82"/>
      <c r="BW94" s="82"/>
      <c r="BX94" s="83"/>
      <c r="BY94" s="83"/>
      <c r="BZ94" s="83"/>
      <c r="CA94" s="83"/>
      <c r="CB94" s="83"/>
      <c r="CC94" s="83"/>
      <c r="CD94" s="83"/>
      <c r="CE94" s="83"/>
      <c r="CF94" s="83"/>
      <c r="CG94" s="83"/>
      <c r="CH94" s="83"/>
      <c r="CI94" s="83"/>
      <c r="CJ94" s="83"/>
      <c r="CK94" s="83"/>
      <c r="CL94" s="83"/>
      <c r="CM94" s="83"/>
      <c r="CN94" s="84"/>
      <c r="CO94" s="82"/>
      <c r="CP94" s="82"/>
      <c r="CQ94" s="82"/>
      <c r="CR94" s="82"/>
      <c r="CS94" s="85"/>
      <c r="CT94" s="85"/>
      <c r="CU94" s="85"/>
      <c r="CV94" s="85"/>
      <c r="CW94" s="85"/>
      <c r="CX94" s="85"/>
      <c r="CY94" s="85"/>
      <c r="CZ94" s="85"/>
      <c r="DA94" s="85"/>
      <c r="DB94" s="85"/>
      <c r="DC94" s="85"/>
      <c r="DD94" s="85"/>
      <c r="DE94" s="85"/>
      <c r="DF94" s="85"/>
      <c r="DG94" s="85"/>
      <c r="DH94" s="85"/>
      <c r="DJ94" s="77"/>
      <c r="DK94" s="77"/>
      <c r="DL94" s="196">
        <f t="shared" si="104"/>
        <v>0</v>
      </c>
      <c r="DM94" s="197">
        <f t="shared" si="105"/>
        <v>0</v>
      </c>
      <c r="DN94" s="198">
        <f t="shared" si="72"/>
        <v>0</v>
      </c>
    </row>
    <row r="95" spans="1:118" s="43" customFormat="1" ht="27.75" hidden="1" customHeight="1" x14ac:dyDescent="0.25">
      <c r="A95" s="248" t="s">
        <v>263</v>
      </c>
      <c r="B95" s="231" t="s">
        <v>264</v>
      </c>
      <c r="C95" s="69" t="s">
        <v>265</v>
      </c>
      <c r="D95" s="21" t="s">
        <v>266</v>
      </c>
      <c r="E95" s="22">
        <v>301</v>
      </c>
      <c r="F95" s="23" t="s">
        <v>267</v>
      </c>
      <c r="G95" s="24">
        <f t="shared" ref="G95:G112" si="114">SUM(H95:Z95)</f>
        <v>82075557</v>
      </c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>
        <f>85000000-2924443</f>
        <v>82075557</v>
      </c>
      <c r="W95" s="24"/>
      <c r="X95" s="24"/>
      <c r="Y95" s="24"/>
      <c r="Z95" s="24"/>
      <c r="AA95" s="25">
        <f t="shared" ref="AA95:AA133" si="115">+AB95/G95</f>
        <v>0.95104883662257689</v>
      </c>
      <c r="AB95" s="24">
        <f t="shared" ref="AB95:AB112" si="116">SUM(AC95:AV95)</f>
        <v>78057863</v>
      </c>
      <c r="AC95" s="24"/>
      <c r="AD95" s="24"/>
      <c r="AE95" s="24"/>
      <c r="AF95" s="24"/>
      <c r="AG95" s="24"/>
      <c r="AH95" s="24"/>
      <c r="AI95" s="24"/>
      <c r="AJ95" s="24"/>
      <c r="AK95" s="24"/>
      <c r="AL95" s="24"/>
      <c r="AM95" s="24"/>
      <c r="AN95" s="24"/>
      <c r="AO95" s="24"/>
      <c r="AP95" s="24"/>
      <c r="AQ95" s="24"/>
      <c r="AR95" s="24">
        <f>+'[4]AGOSTO 2016'!$Z$627</f>
        <v>78057863</v>
      </c>
      <c r="AS95" s="24"/>
      <c r="AT95" s="24"/>
      <c r="AU95" s="24"/>
      <c r="AV95" s="24"/>
      <c r="AW95" s="25">
        <f t="shared" ref="AW95:AW133" si="117">1-AA95</f>
        <v>4.8951163377423113E-2</v>
      </c>
      <c r="AX95" s="24">
        <f t="shared" ref="AX95:AX112" si="118">SUM(AY95:BQ95)</f>
        <v>4017694</v>
      </c>
      <c r="AY95" s="24">
        <f t="shared" ref="AY95:BM109" si="119">H95-AD95</f>
        <v>0</v>
      </c>
      <c r="AZ95" s="24">
        <f t="shared" si="119"/>
        <v>0</v>
      </c>
      <c r="BA95" s="24">
        <f t="shared" si="119"/>
        <v>0</v>
      </c>
      <c r="BB95" s="24">
        <f t="shared" ref="BB95:BM101" si="120">+K95-AG95</f>
        <v>0</v>
      </c>
      <c r="BC95" s="24">
        <f t="shared" si="120"/>
        <v>0</v>
      </c>
      <c r="BD95" s="24">
        <f t="shared" si="120"/>
        <v>0</v>
      </c>
      <c r="BE95" s="24">
        <f t="shared" si="120"/>
        <v>0</v>
      </c>
      <c r="BF95" s="24">
        <f t="shared" si="120"/>
        <v>0</v>
      </c>
      <c r="BG95" s="24">
        <f t="shared" si="120"/>
        <v>0</v>
      </c>
      <c r="BH95" s="24">
        <f t="shared" si="120"/>
        <v>0</v>
      </c>
      <c r="BI95" s="24">
        <f t="shared" si="120"/>
        <v>0</v>
      </c>
      <c r="BJ95" s="24">
        <f t="shared" si="120"/>
        <v>0</v>
      </c>
      <c r="BK95" s="24">
        <f t="shared" si="120"/>
        <v>0</v>
      </c>
      <c r="BL95" s="24">
        <f t="shared" si="120"/>
        <v>0</v>
      </c>
      <c r="BM95" s="24">
        <f t="shared" si="120"/>
        <v>4017694</v>
      </c>
      <c r="BN95" s="24"/>
      <c r="BO95" s="24"/>
      <c r="BP95" s="24">
        <f t="shared" ref="BP95:BP109" si="121">Y95-AU95</f>
        <v>0</v>
      </c>
      <c r="BQ95" s="24">
        <f t="shared" ref="BQ95:BQ101" si="122">+Z95-AV95</f>
        <v>0</v>
      </c>
      <c r="BR95" s="25">
        <f t="shared" ref="BR95:BR133" si="123">+BS95/G95</f>
        <v>0.38412756674925763</v>
      </c>
      <c r="BS95" s="24">
        <f t="shared" ref="BS95:BS112" si="124">SUM(BT95:CM95)</f>
        <v>31527484</v>
      </c>
      <c r="BT95" s="24"/>
      <c r="BU95" s="24"/>
      <c r="BV95" s="24"/>
      <c r="BW95" s="24"/>
      <c r="BX95" s="24"/>
      <c r="BY95" s="24"/>
      <c r="BZ95" s="24"/>
      <c r="CA95" s="24"/>
      <c r="CB95" s="24"/>
      <c r="CC95" s="24"/>
      <c r="CD95" s="24"/>
      <c r="CE95" s="24"/>
      <c r="CF95" s="24"/>
      <c r="CG95" s="24"/>
      <c r="CH95" s="24"/>
      <c r="CI95" s="24">
        <f>+'[1]SEPTIEMBRE 2016'!$H$759</f>
        <v>31527484</v>
      </c>
      <c r="CJ95" s="24"/>
      <c r="CK95" s="24"/>
      <c r="CL95" s="24"/>
      <c r="CM95" s="24"/>
      <c r="CN95" s="25">
        <f t="shared" ref="CN95:CN133" si="125">1-BR95</f>
        <v>0.61587243325074237</v>
      </c>
      <c r="CO95" s="24">
        <f t="shared" ref="CO95:CO112" si="126">SUM(CP95:DH95)</f>
        <v>50548073</v>
      </c>
      <c r="CP95" s="24">
        <f t="shared" ref="CP95:CX109" si="127">H95-BU95</f>
        <v>0</v>
      </c>
      <c r="CQ95" s="24">
        <f t="shared" si="127"/>
        <v>0</v>
      </c>
      <c r="CR95" s="24">
        <f t="shared" si="127"/>
        <v>0</v>
      </c>
      <c r="CS95" s="24">
        <f t="shared" si="127"/>
        <v>0</v>
      </c>
      <c r="CT95" s="24">
        <f t="shared" si="127"/>
        <v>0</v>
      </c>
      <c r="CU95" s="24">
        <f t="shared" si="127"/>
        <v>0</v>
      </c>
      <c r="CV95" s="24">
        <f t="shared" ref="CV95:CX100" si="128">+N95-CA95</f>
        <v>0</v>
      </c>
      <c r="CW95" s="24">
        <f t="shared" si="128"/>
        <v>0</v>
      </c>
      <c r="CX95" s="24">
        <f t="shared" si="128"/>
        <v>0</v>
      </c>
      <c r="CY95" s="24">
        <f t="shared" ref="CY95:DA109" si="129">Q95-CD95</f>
        <v>0</v>
      </c>
      <c r="CZ95" s="24">
        <f t="shared" si="129"/>
        <v>0</v>
      </c>
      <c r="DA95" s="24">
        <f t="shared" si="129"/>
        <v>0</v>
      </c>
      <c r="DB95" s="24">
        <f t="shared" ref="DB95:DD101" si="130">+T95-CG95</f>
        <v>0</v>
      </c>
      <c r="DC95" s="24">
        <f t="shared" si="130"/>
        <v>0</v>
      </c>
      <c r="DD95" s="24">
        <f t="shared" si="130"/>
        <v>50548073</v>
      </c>
      <c r="DE95" s="24"/>
      <c r="DF95" s="24">
        <f t="shared" ref="DF95:DH101" si="131">+X95-CK95</f>
        <v>0</v>
      </c>
      <c r="DG95" s="24">
        <f t="shared" si="131"/>
        <v>0</v>
      </c>
      <c r="DH95" s="24">
        <f t="shared" si="131"/>
        <v>0</v>
      </c>
      <c r="DJ95" s="77"/>
      <c r="DK95" s="77"/>
      <c r="DL95" s="196">
        <f t="shared" si="104"/>
        <v>82075557</v>
      </c>
      <c r="DM95" s="197">
        <f t="shared" si="105"/>
        <v>31527484</v>
      </c>
      <c r="DN95" s="198">
        <f t="shared" si="72"/>
        <v>0.38412756674925763</v>
      </c>
    </row>
    <row r="96" spans="1:118" s="43" customFormat="1" ht="27.75" hidden="1" customHeight="1" x14ac:dyDescent="0.25">
      <c r="A96" s="248"/>
      <c r="B96" s="232"/>
      <c r="C96" s="69" t="s">
        <v>268</v>
      </c>
      <c r="D96" s="21" t="s">
        <v>269</v>
      </c>
      <c r="E96" s="22">
        <v>301</v>
      </c>
      <c r="F96" s="23" t="s">
        <v>267</v>
      </c>
      <c r="G96" s="24">
        <f t="shared" si="114"/>
        <v>57924443</v>
      </c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>
        <f>55000000+2924443</f>
        <v>57924443</v>
      </c>
      <c r="W96" s="24"/>
      <c r="X96" s="24"/>
      <c r="Y96" s="24"/>
      <c r="Z96" s="24"/>
      <c r="AA96" s="25">
        <f t="shared" si="115"/>
        <v>0.94951279894050944</v>
      </c>
      <c r="AB96" s="24">
        <f t="shared" si="116"/>
        <v>55000000</v>
      </c>
      <c r="AC96" s="24"/>
      <c r="AD96" s="24"/>
      <c r="AE96" s="24"/>
      <c r="AF96" s="24"/>
      <c r="AG96" s="24"/>
      <c r="AH96" s="24"/>
      <c r="AI96" s="24"/>
      <c r="AJ96" s="24"/>
      <c r="AK96" s="24"/>
      <c r="AL96" s="24"/>
      <c r="AM96" s="24"/>
      <c r="AN96" s="24"/>
      <c r="AO96" s="24"/>
      <c r="AP96" s="24"/>
      <c r="AQ96" s="24"/>
      <c r="AR96" s="24">
        <f>+'[6]JUNIO 2016'!$Z$461</f>
        <v>55000000</v>
      </c>
      <c r="AS96" s="24"/>
      <c r="AT96" s="24"/>
      <c r="AU96" s="24"/>
      <c r="AV96" s="24"/>
      <c r="AW96" s="25">
        <f t="shared" si="117"/>
        <v>5.0487201059490561E-2</v>
      </c>
      <c r="AX96" s="24">
        <f t="shared" si="118"/>
        <v>2924443</v>
      </c>
      <c r="AY96" s="24">
        <f t="shared" si="119"/>
        <v>0</v>
      </c>
      <c r="AZ96" s="24">
        <f t="shared" si="119"/>
        <v>0</v>
      </c>
      <c r="BA96" s="24">
        <f t="shared" si="119"/>
        <v>0</v>
      </c>
      <c r="BB96" s="24">
        <f t="shared" si="120"/>
        <v>0</v>
      </c>
      <c r="BC96" s="24">
        <f t="shared" si="120"/>
        <v>0</v>
      </c>
      <c r="BD96" s="24">
        <f t="shared" si="120"/>
        <v>0</v>
      </c>
      <c r="BE96" s="24">
        <f t="shared" si="120"/>
        <v>0</v>
      </c>
      <c r="BF96" s="24">
        <f t="shared" si="120"/>
        <v>0</v>
      </c>
      <c r="BG96" s="24">
        <f t="shared" si="120"/>
        <v>0</v>
      </c>
      <c r="BH96" s="24">
        <f t="shared" si="120"/>
        <v>0</v>
      </c>
      <c r="BI96" s="24">
        <f t="shared" si="120"/>
        <v>0</v>
      </c>
      <c r="BJ96" s="24">
        <f t="shared" si="120"/>
        <v>0</v>
      </c>
      <c r="BK96" s="24">
        <f t="shared" si="120"/>
        <v>0</v>
      </c>
      <c r="BL96" s="24">
        <f t="shared" si="120"/>
        <v>0</v>
      </c>
      <c r="BM96" s="24">
        <f t="shared" si="120"/>
        <v>2924443</v>
      </c>
      <c r="BN96" s="24"/>
      <c r="BO96" s="24"/>
      <c r="BP96" s="24">
        <f t="shared" si="121"/>
        <v>0</v>
      </c>
      <c r="BQ96" s="24">
        <f t="shared" si="122"/>
        <v>0</v>
      </c>
      <c r="BR96" s="25">
        <f t="shared" si="123"/>
        <v>0.94334160451055182</v>
      </c>
      <c r="BS96" s="24">
        <f t="shared" si="124"/>
        <v>54642537</v>
      </c>
      <c r="BT96" s="24"/>
      <c r="BU96" s="24"/>
      <c r="BV96" s="24"/>
      <c r="BW96" s="24"/>
      <c r="BX96" s="24"/>
      <c r="BY96" s="24"/>
      <c r="BZ96" s="24"/>
      <c r="CA96" s="24"/>
      <c r="CB96" s="24"/>
      <c r="CC96" s="24"/>
      <c r="CD96" s="24"/>
      <c r="CE96" s="24"/>
      <c r="CF96" s="24"/>
      <c r="CG96" s="24"/>
      <c r="CH96" s="24"/>
      <c r="CI96" s="24">
        <f>+'[4]AGOSTO 2016'!$H$648</f>
        <v>54642537</v>
      </c>
      <c r="CJ96" s="24"/>
      <c r="CK96" s="24"/>
      <c r="CL96" s="24"/>
      <c r="CM96" s="24"/>
      <c r="CN96" s="25">
        <f t="shared" si="125"/>
        <v>5.6658395489448177E-2</v>
      </c>
      <c r="CO96" s="24">
        <f t="shared" si="126"/>
        <v>3281906</v>
      </c>
      <c r="CP96" s="24">
        <f t="shared" si="127"/>
        <v>0</v>
      </c>
      <c r="CQ96" s="24">
        <f t="shared" si="127"/>
        <v>0</v>
      </c>
      <c r="CR96" s="24">
        <f t="shared" si="127"/>
        <v>0</v>
      </c>
      <c r="CS96" s="24">
        <f t="shared" si="127"/>
        <v>0</v>
      </c>
      <c r="CT96" s="24">
        <f t="shared" si="127"/>
        <v>0</v>
      </c>
      <c r="CU96" s="24">
        <f t="shared" si="127"/>
        <v>0</v>
      </c>
      <c r="CV96" s="24">
        <f t="shared" si="128"/>
        <v>0</v>
      </c>
      <c r="CW96" s="24">
        <f t="shared" si="128"/>
        <v>0</v>
      </c>
      <c r="CX96" s="24">
        <f t="shared" si="128"/>
        <v>0</v>
      </c>
      <c r="CY96" s="24">
        <f t="shared" si="129"/>
        <v>0</v>
      </c>
      <c r="CZ96" s="24">
        <f t="shared" si="129"/>
        <v>0</v>
      </c>
      <c r="DA96" s="24">
        <f t="shared" si="129"/>
        <v>0</v>
      </c>
      <c r="DB96" s="24">
        <f t="shared" si="130"/>
        <v>0</v>
      </c>
      <c r="DC96" s="24">
        <f t="shared" si="130"/>
        <v>0</v>
      </c>
      <c r="DD96" s="24">
        <f t="shared" si="130"/>
        <v>3281906</v>
      </c>
      <c r="DE96" s="24"/>
      <c r="DF96" s="24">
        <f t="shared" si="131"/>
        <v>0</v>
      </c>
      <c r="DG96" s="24">
        <f t="shared" si="131"/>
        <v>0</v>
      </c>
      <c r="DH96" s="24">
        <f t="shared" si="131"/>
        <v>0</v>
      </c>
      <c r="DJ96" s="77"/>
      <c r="DK96" s="77"/>
      <c r="DL96" s="196">
        <f t="shared" si="104"/>
        <v>57924443</v>
      </c>
      <c r="DM96" s="197">
        <f t="shared" si="105"/>
        <v>54642537</v>
      </c>
      <c r="DN96" s="198">
        <f t="shared" si="72"/>
        <v>0.94334160451055182</v>
      </c>
    </row>
    <row r="97" spans="1:118" s="43" customFormat="1" ht="21.75" hidden="1" customHeight="1" x14ac:dyDescent="0.25">
      <c r="A97" s="248"/>
      <c r="B97" s="232"/>
      <c r="C97" s="69" t="s">
        <v>270</v>
      </c>
      <c r="D97" s="21" t="s">
        <v>271</v>
      </c>
      <c r="E97" s="22">
        <v>301</v>
      </c>
      <c r="F97" s="23" t="s">
        <v>267</v>
      </c>
      <c r="G97" s="24">
        <f t="shared" si="114"/>
        <v>38600000</v>
      </c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>
        <f>30000000+8600000</f>
        <v>38600000</v>
      </c>
      <c r="W97" s="24"/>
      <c r="X97" s="24"/>
      <c r="Y97" s="24"/>
      <c r="Z97" s="24"/>
      <c r="AA97" s="25">
        <f t="shared" si="115"/>
        <v>0.76161233160621766</v>
      </c>
      <c r="AB97" s="24">
        <f t="shared" si="116"/>
        <v>29398236</v>
      </c>
      <c r="AC97" s="24"/>
      <c r="AD97" s="24"/>
      <c r="AE97" s="24"/>
      <c r="AF97" s="24"/>
      <c r="AG97" s="24"/>
      <c r="AH97" s="24"/>
      <c r="AI97" s="24"/>
      <c r="AJ97" s="24"/>
      <c r="AK97" s="24"/>
      <c r="AL97" s="24"/>
      <c r="AM97" s="24"/>
      <c r="AN97" s="24"/>
      <c r="AO97" s="24"/>
      <c r="AP97" s="24"/>
      <c r="AQ97" s="24"/>
      <c r="AR97" s="24">
        <f>+'[4]AGOSTO 2016'!$G$665</f>
        <v>29398236</v>
      </c>
      <c r="AS97" s="24"/>
      <c r="AT97" s="24"/>
      <c r="AU97" s="24"/>
      <c r="AV97" s="24"/>
      <c r="AW97" s="25">
        <f t="shared" si="117"/>
        <v>0.23838766839378234</v>
      </c>
      <c r="AX97" s="24">
        <f t="shared" si="118"/>
        <v>9201764</v>
      </c>
      <c r="AY97" s="24">
        <f t="shared" si="119"/>
        <v>0</v>
      </c>
      <c r="AZ97" s="24">
        <f t="shared" si="119"/>
        <v>0</v>
      </c>
      <c r="BA97" s="24">
        <f t="shared" si="119"/>
        <v>0</v>
      </c>
      <c r="BB97" s="24">
        <f t="shared" si="120"/>
        <v>0</v>
      </c>
      <c r="BC97" s="24">
        <f t="shared" si="120"/>
        <v>0</v>
      </c>
      <c r="BD97" s="24">
        <f t="shared" si="120"/>
        <v>0</v>
      </c>
      <c r="BE97" s="24">
        <f t="shared" si="120"/>
        <v>0</v>
      </c>
      <c r="BF97" s="24">
        <f t="shared" si="120"/>
        <v>0</v>
      </c>
      <c r="BG97" s="24">
        <f t="shared" si="120"/>
        <v>0</v>
      </c>
      <c r="BH97" s="24">
        <f t="shared" si="120"/>
        <v>0</v>
      </c>
      <c r="BI97" s="24">
        <f t="shared" si="120"/>
        <v>0</v>
      </c>
      <c r="BJ97" s="24">
        <f t="shared" si="120"/>
        <v>0</v>
      </c>
      <c r="BK97" s="24">
        <f t="shared" si="120"/>
        <v>0</v>
      </c>
      <c r="BL97" s="24">
        <f t="shared" si="120"/>
        <v>0</v>
      </c>
      <c r="BM97" s="24">
        <f t="shared" si="120"/>
        <v>9201764</v>
      </c>
      <c r="BN97" s="24"/>
      <c r="BO97" s="24"/>
      <c r="BP97" s="24">
        <f t="shared" si="121"/>
        <v>0</v>
      </c>
      <c r="BQ97" s="24">
        <f t="shared" si="122"/>
        <v>0</v>
      </c>
      <c r="BR97" s="25">
        <f t="shared" si="123"/>
        <v>0.75817126943005186</v>
      </c>
      <c r="BS97" s="24">
        <f t="shared" si="124"/>
        <v>29265411</v>
      </c>
      <c r="BT97" s="24"/>
      <c r="BU97" s="24"/>
      <c r="BV97" s="24"/>
      <c r="BW97" s="24"/>
      <c r="BX97" s="24"/>
      <c r="BY97" s="24"/>
      <c r="BZ97" s="24"/>
      <c r="CA97" s="24"/>
      <c r="CB97" s="24"/>
      <c r="CC97" s="24"/>
      <c r="CD97" s="24"/>
      <c r="CE97" s="24"/>
      <c r="CF97" s="24"/>
      <c r="CG97" s="24"/>
      <c r="CH97" s="24"/>
      <c r="CI97" s="24">
        <f>+'[4]AGOSTO 2016'!$H$665</f>
        <v>29265411</v>
      </c>
      <c r="CJ97" s="24"/>
      <c r="CK97" s="24"/>
      <c r="CL97" s="24"/>
      <c r="CM97" s="24"/>
      <c r="CN97" s="25">
        <f t="shared" si="125"/>
        <v>0.24182873056994814</v>
      </c>
      <c r="CO97" s="24">
        <f t="shared" si="126"/>
        <v>9334589</v>
      </c>
      <c r="CP97" s="24">
        <f t="shared" si="127"/>
        <v>0</v>
      </c>
      <c r="CQ97" s="24">
        <f t="shared" si="127"/>
        <v>0</v>
      </c>
      <c r="CR97" s="24">
        <f t="shared" si="127"/>
        <v>0</v>
      </c>
      <c r="CS97" s="24">
        <f t="shared" si="127"/>
        <v>0</v>
      </c>
      <c r="CT97" s="24">
        <f t="shared" si="127"/>
        <v>0</v>
      </c>
      <c r="CU97" s="24">
        <f t="shared" si="127"/>
        <v>0</v>
      </c>
      <c r="CV97" s="24">
        <f t="shared" si="128"/>
        <v>0</v>
      </c>
      <c r="CW97" s="24">
        <f t="shared" si="128"/>
        <v>0</v>
      </c>
      <c r="CX97" s="24">
        <f t="shared" si="128"/>
        <v>0</v>
      </c>
      <c r="CY97" s="24">
        <f t="shared" si="129"/>
        <v>0</v>
      </c>
      <c r="CZ97" s="24">
        <f t="shared" si="129"/>
        <v>0</v>
      </c>
      <c r="DA97" s="24">
        <f t="shared" si="129"/>
        <v>0</v>
      </c>
      <c r="DB97" s="24">
        <f t="shared" si="130"/>
        <v>0</v>
      </c>
      <c r="DC97" s="24">
        <f t="shared" si="130"/>
        <v>0</v>
      </c>
      <c r="DD97" s="24">
        <f t="shared" si="130"/>
        <v>9334589</v>
      </c>
      <c r="DE97" s="24"/>
      <c r="DF97" s="24">
        <f t="shared" si="131"/>
        <v>0</v>
      </c>
      <c r="DG97" s="24">
        <f t="shared" si="131"/>
        <v>0</v>
      </c>
      <c r="DH97" s="24">
        <f t="shared" si="131"/>
        <v>0</v>
      </c>
      <c r="DJ97" s="77"/>
      <c r="DK97" s="77"/>
      <c r="DL97" s="196">
        <f t="shared" si="104"/>
        <v>38600000</v>
      </c>
      <c r="DM97" s="197">
        <f t="shared" si="105"/>
        <v>29265411</v>
      </c>
      <c r="DN97" s="198">
        <f t="shared" si="72"/>
        <v>0.75817126943005186</v>
      </c>
    </row>
    <row r="98" spans="1:118" ht="35.25" hidden="1" customHeight="1" x14ac:dyDescent="0.25">
      <c r="A98" s="248"/>
      <c r="B98" s="232"/>
      <c r="C98" s="69" t="s">
        <v>272</v>
      </c>
      <c r="D98" s="21" t="s">
        <v>273</v>
      </c>
      <c r="E98" s="22">
        <v>301</v>
      </c>
      <c r="F98" s="23" t="s">
        <v>274</v>
      </c>
      <c r="G98" s="24">
        <f t="shared" si="114"/>
        <v>53000000</v>
      </c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>
        <f>25000000-23000000</f>
        <v>2000000</v>
      </c>
      <c r="W98" s="24"/>
      <c r="X98" s="24"/>
      <c r="Y98" s="24"/>
      <c r="Z98" s="24">
        <f>25000000+1000000+5000000+20000000</f>
        <v>51000000</v>
      </c>
      <c r="AA98" s="25">
        <f t="shared" si="115"/>
        <v>0.50190237735849053</v>
      </c>
      <c r="AB98" s="24">
        <f>SUM(AC98:AV98)</f>
        <v>26600826</v>
      </c>
      <c r="AC98" s="24"/>
      <c r="AD98" s="24"/>
      <c r="AE98" s="24"/>
      <c r="AF98" s="24"/>
      <c r="AG98" s="24"/>
      <c r="AH98" s="24"/>
      <c r="AI98" s="24"/>
      <c r="AJ98" s="24"/>
      <c r="AK98" s="24"/>
      <c r="AL98" s="24"/>
      <c r="AM98" s="24"/>
      <c r="AN98" s="24"/>
      <c r="AO98" s="24"/>
      <c r="AP98" s="24"/>
      <c r="AQ98" s="24"/>
      <c r="AR98" s="24">
        <f>+'[4]AGOSTO 2016'!$Z$680</f>
        <v>2000000</v>
      </c>
      <c r="AS98" s="24"/>
      <c r="AT98" s="24"/>
      <c r="AU98" s="24"/>
      <c r="AV98" s="24">
        <f>+'[1]SEPTIEMBRE 2016'!$AG$817</f>
        <v>24600826</v>
      </c>
      <c r="AW98" s="25">
        <f t="shared" si="117"/>
        <v>0.49809762264150947</v>
      </c>
      <c r="AX98" s="24">
        <f t="shared" si="118"/>
        <v>26399174</v>
      </c>
      <c r="AY98" s="24">
        <f t="shared" si="119"/>
        <v>0</v>
      </c>
      <c r="AZ98" s="24">
        <f t="shared" si="119"/>
        <v>0</v>
      </c>
      <c r="BA98" s="24">
        <f t="shared" si="119"/>
        <v>0</v>
      </c>
      <c r="BB98" s="24">
        <f t="shared" si="120"/>
        <v>0</v>
      </c>
      <c r="BC98" s="24">
        <f t="shared" si="120"/>
        <v>0</v>
      </c>
      <c r="BD98" s="24">
        <f t="shared" si="120"/>
        <v>0</v>
      </c>
      <c r="BE98" s="24">
        <f t="shared" si="120"/>
        <v>0</v>
      </c>
      <c r="BF98" s="24">
        <f t="shared" si="120"/>
        <v>0</v>
      </c>
      <c r="BG98" s="24">
        <f t="shared" si="120"/>
        <v>0</v>
      </c>
      <c r="BH98" s="24">
        <f t="shared" si="120"/>
        <v>0</v>
      </c>
      <c r="BI98" s="24">
        <f t="shared" si="120"/>
        <v>0</v>
      </c>
      <c r="BJ98" s="24">
        <f t="shared" si="120"/>
        <v>0</v>
      </c>
      <c r="BK98" s="24">
        <f t="shared" si="120"/>
        <v>0</v>
      </c>
      <c r="BL98" s="24">
        <f t="shared" si="120"/>
        <v>0</v>
      </c>
      <c r="BM98" s="24">
        <f t="shared" si="120"/>
        <v>0</v>
      </c>
      <c r="BN98" s="24"/>
      <c r="BO98" s="24"/>
      <c r="BP98" s="24">
        <f t="shared" si="121"/>
        <v>0</v>
      </c>
      <c r="BQ98" s="24">
        <f t="shared" si="122"/>
        <v>26399174</v>
      </c>
      <c r="BR98" s="25">
        <f t="shared" si="123"/>
        <v>0.48301558490566038</v>
      </c>
      <c r="BS98" s="24">
        <f t="shared" si="124"/>
        <v>25599826</v>
      </c>
      <c r="BT98" s="24"/>
      <c r="BU98" s="24"/>
      <c r="BV98" s="24"/>
      <c r="BW98" s="24"/>
      <c r="BX98" s="24"/>
      <c r="BY98" s="24"/>
      <c r="BZ98" s="24"/>
      <c r="CA98" s="24"/>
      <c r="CB98" s="24"/>
      <c r="CC98" s="24"/>
      <c r="CD98" s="24"/>
      <c r="CE98" s="24"/>
      <c r="CF98" s="24"/>
      <c r="CG98" s="24"/>
      <c r="CH98" s="24"/>
      <c r="CI98" s="24">
        <v>2000000</v>
      </c>
      <c r="CJ98" s="24"/>
      <c r="CK98" s="24"/>
      <c r="CL98" s="24"/>
      <c r="CM98" s="24">
        <f>+'[1]SEPTIEMBRE 2016'!$H$815-CI98</f>
        <v>23599826</v>
      </c>
      <c r="CN98" s="25">
        <f t="shared" si="125"/>
        <v>0.51698441509433968</v>
      </c>
      <c r="CO98" s="24">
        <f t="shared" si="126"/>
        <v>27400174</v>
      </c>
      <c r="CP98" s="24">
        <f t="shared" si="127"/>
        <v>0</v>
      </c>
      <c r="CQ98" s="24">
        <f t="shared" si="127"/>
        <v>0</v>
      </c>
      <c r="CR98" s="24">
        <f t="shared" si="127"/>
        <v>0</v>
      </c>
      <c r="CS98" s="24">
        <f t="shared" si="127"/>
        <v>0</v>
      </c>
      <c r="CT98" s="24">
        <f t="shared" si="127"/>
        <v>0</v>
      </c>
      <c r="CU98" s="24">
        <f t="shared" si="127"/>
        <v>0</v>
      </c>
      <c r="CV98" s="24">
        <f t="shared" si="128"/>
        <v>0</v>
      </c>
      <c r="CW98" s="24">
        <f t="shared" si="128"/>
        <v>0</v>
      </c>
      <c r="CX98" s="24">
        <f t="shared" si="128"/>
        <v>0</v>
      </c>
      <c r="CY98" s="24">
        <f t="shared" si="129"/>
        <v>0</v>
      </c>
      <c r="CZ98" s="24">
        <f t="shared" si="129"/>
        <v>0</v>
      </c>
      <c r="DA98" s="24">
        <f t="shared" si="129"/>
        <v>0</v>
      </c>
      <c r="DB98" s="24">
        <f t="shared" si="130"/>
        <v>0</v>
      </c>
      <c r="DC98" s="24">
        <f t="shared" si="130"/>
        <v>0</v>
      </c>
      <c r="DD98" s="24">
        <f t="shared" si="130"/>
        <v>0</v>
      </c>
      <c r="DE98" s="24"/>
      <c r="DF98" s="24">
        <f t="shared" si="131"/>
        <v>0</v>
      </c>
      <c r="DG98" s="24">
        <f t="shared" si="131"/>
        <v>0</v>
      </c>
      <c r="DH98" s="24">
        <f t="shared" si="131"/>
        <v>27400174</v>
      </c>
      <c r="DJ98" s="77"/>
      <c r="DK98" s="77"/>
      <c r="DL98" s="196">
        <f t="shared" si="104"/>
        <v>53000000</v>
      </c>
      <c r="DM98" s="197">
        <f t="shared" si="105"/>
        <v>25599826</v>
      </c>
      <c r="DN98" s="198">
        <f t="shared" si="72"/>
        <v>0.48301558490566038</v>
      </c>
    </row>
    <row r="99" spans="1:118" ht="33" hidden="1" customHeight="1" x14ac:dyDescent="0.25">
      <c r="A99" s="248"/>
      <c r="B99" s="232"/>
      <c r="C99" s="69" t="s">
        <v>275</v>
      </c>
      <c r="D99" s="21" t="s">
        <v>276</v>
      </c>
      <c r="E99" s="22">
        <v>301</v>
      </c>
      <c r="F99" s="23" t="s">
        <v>267</v>
      </c>
      <c r="G99" s="24">
        <f t="shared" si="114"/>
        <v>34000000</v>
      </c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>
        <v>34000000</v>
      </c>
      <c r="W99" s="24"/>
      <c r="X99" s="24"/>
      <c r="Y99" s="24"/>
      <c r="Z99" s="24"/>
      <c r="AA99" s="25">
        <f t="shared" si="115"/>
        <v>0.99863861764705886</v>
      </c>
      <c r="AB99" s="24">
        <f t="shared" si="116"/>
        <v>33953713</v>
      </c>
      <c r="AC99" s="24"/>
      <c r="AD99" s="24"/>
      <c r="AE99" s="24"/>
      <c r="AF99" s="24"/>
      <c r="AG99" s="24"/>
      <c r="AH99" s="24"/>
      <c r="AI99" s="24"/>
      <c r="AJ99" s="24"/>
      <c r="AK99" s="24"/>
      <c r="AL99" s="24"/>
      <c r="AM99" s="24"/>
      <c r="AN99" s="24"/>
      <c r="AO99" s="24"/>
      <c r="AP99" s="24"/>
      <c r="AQ99" s="24"/>
      <c r="AR99" s="24">
        <f>+'[8]ABRIL 2016'!$Z$347</f>
        <v>33953713</v>
      </c>
      <c r="AS99" s="24"/>
      <c r="AT99" s="24"/>
      <c r="AU99" s="24"/>
      <c r="AV99" s="24"/>
      <c r="AW99" s="25">
        <f t="shared" si="117"/>
        <v>1.3613823529411428E-3</v>
      </c>
      <c r="AX99" s="24">
        <f t="shared" si="118"/>
        <v>46287</v>
      </c>
      <c r="AY99" s="24">
        <f t="shared" si="119"/>
        <v>0</v>
      </c>
      <c r="AZ99" s="24">
        <f t="shared" si="119"/>
        <v>0</v>
      </c>
      <c r="BA99" s="24">
        <f t="shared" si="119"/>
        <v>0</v>
      </c>
      <c r="BB99" s="24">
        <f t="shared" si="120"/>
        <v>0</v>
      </c>
      <c r="BC99" s="24">
        <f t="shared" si="120"/>
        <v>0</v>
      </c>
      <c r="BD99" s="24">
        <f t="shared" si="120"/>
        <v>0</v>
      </c>
      <c r="BE99" s="24">
        <f t="shared" si="120"/>
        <v>0</v>
      </c>
      <c r="BF99" s="24">
        <f t="shared" si="120"/>
        <v>0</v>
      </c>
      <c r="BG99" s="24">
        <f t="shared" si="120"/>
        <v>0</v>
      </c>
      <c r="BH99" s="24">
        <f t="shared" si="120"/>
        <v>0</v>
      </c>
      <c r="BI99" s="24">
        <f t="shared" si="120"/>
        <v>0</v>
      </c>
      <c r="BJ99" s="24">
        <f t="shared" si="120"/>
        <v>0</v>
      </c>
      <c r="BK99" s="24">
        <f t="shared" si="120"/>
        <v>0</v>
      </c>
      <c r="BL99" s="24">
        <f t="shared" si="120"/>
        <v>0</v>
      </c>
      <c r="BM99" s="24">
        <f t="shared" si="120"/>
        <v>46287</v>
      </c>
      <c r="BN99" s="24"/>
      <c r="BO99" s="24"/>
      <c r="BP99" s="24">
        <f t="shared" si="121"/>
        <v>0</v>
      </c>
      <c r="BQ99" s="24">
        <f t="shared" si="122"/>
        <v>0</v>
      </c>
      <c r="BR99" s="25">
        <f t="shared" si="123"/>
        <v>0.99650888235294122</v>
      </c>
      <c r="BS99" s="24">
        <f t="shared" si="124"/>
        <v>33881302</v>
      </c>
      <c r="BT99" s="24"/>
      <c r="BU99" s="24"/>
      <c r="BV99" s="24"/>
      <c r="BW99" s="24"/>
      <c r="BX99" s="24"/>
      <c r="BY99" s="24"/>
      <c r="BZ99" s="24"/>
      <c r="CA99" s="24"/>
      <c r="CB99" s="24"/>
      <c r="CC99" s="24"/>
      <c r="CD99" s="24"/>
      <c r="CE99" s="24"/>
      <c r="CF99" s="24"/>
      <c r="CG99" s="24"/>
      <c r="CH99" s="24"/>
      <c r="CI99" s="24">
        <f>+'[7]MAYO 2016'!$H$416</f>
        <v>33881302</v>
      </c>
      <c r="CJ99" s="24"/>
      <c r="CK99" s="24"/>
      <c r="CL99" s="24"/>
      <c r="CM99" s="24"/>
      <c r="CN99" s="25">
        <f t="shared" si="125"/>
        <v>3.4911176470587835E-3</v>
      </c>
      <c r="CO99" s="24">
        <f t="shared" si="126"/>
        <v>118698</v>
      </c>
      <c r="CP99" s="24">
        <f t="shared" si="127"/>
        <v>0</v>
      </c>
      <c r="CQ99" s="24">
        <f t="shared" si="127"/>
        <v>0</v>
      </c>
      <c r="CR99" s="24">
        <f t="shared" si="127"/>
        <v>0</v>
      </c>
      <c r="CS99" s="24">
        <f t="shared" si="127"/>
        <v>0</v>
      </c>
      <c r="CT99" s="24">
        <f t="shared" si="127"/>
        <v>0</v>
      </c>
      <c r="CU99" s="24">
        <f t="shared" si="127"/>
        <v>0</v>
      </c>
      <c r="CV99" s="24">
        <f t="shared" si="128"/>
        <v>0</v>
      </c>
      <c r="CW99" s="24">
        <f t="shared" si="128"/>
        <v>0</v>
      </c>
      <c r="CX99" s="24">
        <f t="shared" si="128"/>
        <v>0</v>
      </c>
      <c r="CY99" s="24">
        <f t="shared" si="129"/>
        <v>0</v>
      </c>
      <c r="CZ99" s="24">
        <f t="shared" si="129"/>
        <v>0</v>
      </c>
      <c r="DA99" s="24">
        <f t="shared" si="129"/>
        <v>0</v>
      </c>
      <c r="DB99" s="24">
        <f t="shared" si="130"/>
        <v>0</v>
      </c>
      <c r="DC99" s="24">
        <f t="shared" si="130"/>
        <v>0</v>
      </c>
      <c r="DD99" s="24">
        <f t="shared" si="130"/>
        <v>118698</v>
      </c>
      <c r="DE99" s="24"/>
      <c r="DF99" s="24">
        <f t="shared" si="131"/>
        <v>0</v>
      </c>
      <c r="DG99" s="24">
        <f t="shared" si="131"/>
        <v>0</v>
      </c>
      <c r="DH99" s="24">
        <f t="shared" si="131"/>
        <v>0</v>
      </c>
      <c r="DJ99" s="77"/>
      <c r="DK99" s="77"/>
      <c r="DL99" s="196">
        <f t="shared" si="104"/>
        <v>34000000</v>
      </c>
      <c r="DM99" s="197">
        <f t="shared" si="105"/>
        <v>33881302</v>
      </c>
      <c r="DN99" s="198">
        <f t="shared" si="72"/>
        <v>0.99650888235294122</v>
      </c>
    </row>
    <row r="100" spans="1:118" ht="23.25" hidden="1" customHeight="1" x14ac:dyDescent="0.25">
      <c r="A100" s="248"/>
      <c r="B100" s="232"/>
      <c r="C100" s="69" t="s">
        <v>277</v>
      </c>
      <c r="D100" s="21" t="s">
        <v>278</v>
      </c>
      <c r="E100" s="22">
        <v>301</v>
      </c>
      <c r="F100" s="23" t="s">
        <v>190</v>
      </c>
      <c r="G100" s="24">
        <f t="shared" si="114"/>
        <v>113185104</v>
      </c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>
        <f>53185104</f>
        <v>53185104</v>
      </c>
      <c r="V100" s="24">
        <v>60000000</v>
      </c>
      <c r="W100" s="24"/>
      <c r="X100" s="24"/>
      <c r="Y100" s="24"/>
      <c r="Z100" s="24"/>
      <c r="AA100" s="25">
        <f t="shared" si="115"/>
        <v>1</v>
      </c>
      <c r="AB100" s="24">
        <f t="shared" si="116"/>
        <v>113185104</v>
      </c>
      <c r="AC100" s="24"/>
      <c r="AD100" s="24"/>
      <c r="AE100" s="24"/>
      <c r="AF100" s="24"/>
      <c r="AG100" s="24"/>
      <c r="AH100" s="24"/>
      <c r="AI100" s="24"/>
      <c r="AJ100" s="24"/>
      <c r="AK100" s="24"/>
      <c r="AL100" s="24"/>
      <c r="AM100" s="24"/>
      <c r="AN100" s="24"/>
      <c r="AO100" s="24"/>
      <c r="AP100" s="24"/>
      <c r="AQ100" s="24">
        <f>+'[1]SEPTIEMBRE 2016'!$Y$856</f>
        <v>53185104</v>
      </c>
      <c r="AR100" s="24">
        <f>+'[2]ENERO 2016'!$Z$180</f>
        <v>60000000</v>
      </c>
      <c r="AS100" s="24"/>
      <c r="AT100" s="24"/>
      <c r="AU100" s="24"/>
      <c r="AV100" s="24"/>
      <c r="AW100" s="25">
        <f t="shared" si="117"/>
        <v>0</v>
      </c>
      <c r="AX100" s="24">
        <f t="shared" si="118"/>
        <v>0</v>
      </c>
      <c r="AY100" s="24">
        <f t="shared" si="119"/>
        <v>0</v>
      </c>
      <c r="AZ100" s="24">
        <f t="shared" si="119"/>
        <v>0</v>
      </c>
      <c r="BA100" s="24">
        <f t="shared" si="119"/>
        <v>0</v>
      </c>
      <c r="BB100" s="24">
        <f t="shared" si="120"/>
        <v>0</v>
      </c>
      <c r="BC100" s="24">
        <f t="shared" si="120"/>
        <v>0</v>
      </c>
      <c r="BD100" s="24">
        <f t="shared" si="120"/>
        <v>0</v>
      </c>
      <c r="BE100" s="24">
        <f t="shared" si="120"/>
        <v>0</v>
      </c>
      <c r="BF100" s="24">
        <f t="shared" si="120"/>
        <v>0</v>
      </c>
      <c r="BG100" s="24">
        <f t="shared" si="120"/>
        <v>0</v>
      </c>
      <c r="BH100" s="24">
        <f t="shared" si="120"/>
        <v>0</v>
      </c>
      <c r="BI100" s="24">
        <f t="shared" si="120"/>
        <v>0</v>
      </c>
      <c r="BJ100" s="24">
        <f t="shared" si="120"/>
        <v>0</v>
      </c>
      <c r="BK100" s="24">
        <f t="shared" si="120"/>
        <v>0</v>
      </c>
      <c r="BL100" s="24">
        <f t="shared" si="120"/>
        <v>0</v>
      </c>
      <c r="BM100" s="24">
        <f t="shared" si="120"/>
        <v>0</v>
      </c>
      <c r="BN100" s="24"/>
      <c r="BO100" s="24"/>
      <c r="BP100" s="24">
        <f t="shared" si="121"/>
        <v>0</v>
      </c>
      <c r="BQ100" s="24">
        <f t="shared" si="122"/>
        <v>0</v>
      </c>
      <c r="BR100" s="25">
        <f t="shared" si="123"/>
        <v>0.78100794959732511</v>
      </c>
      <c r="BS100" s="24">
        <f t="shared" si="124"/>
        <v>88398466</v>
      </c>
      <c r="BT100" s="24"/>
      <c r="BU100" s="24"/>
      <c r="BV100" s="24"/>
      <c r="BW100" s="24"/>
      <c r="BX100" s="24"/>
      <c r="BY100" s="24"/>
      <c r="BZ100" s="24"/>
      <c r="CA100" s="24"/>
      <c r="CB100" s="24"/>
      <c r="CC100" s="24"/>
      <c r="CD100" s="24"/>
      <c r="CE100" s="24"/>
      <c r="CF100" s="24"/>
      <c r="CG100" s="24"/>
      <c r="CH100" s="24">
        <f>+'[1]SEPTIEMBRE 2016'!$H$879</f>
        <v>30040000</v>
      </c>
      <c r="CI100" s="24">
        <f>+'[1]SEPTIEMBRE 2016'!$H$857</f>
        <v>58358466</v>
      </c>
      <c r="CJ100" s="24"/>
      <c r="CK100" s="24"/>
      <c r="CL100" s="24"/>
      <c r="CM100" s="24"/>
      <c r="CN100" s="25">
        <f t="shared" si="125"/>
        <v>0.21899205040267489</v>
      </c>
      <c r="CO100" s="24">
        <f t="shared" si="126"/>
        <v>24786638</v>
      </c>
      <c r="CP100" s="24">
        <f t="shared" si="127"/>
        <v>0</v>
      </c>
      <c r="CQ100" s="24">
        <f t="shared" si="127"/>
        <v>0</v>
      </c>
      <c r="CR100" s="24">
        <f t="shared" si="127"/>
        <v>0</v>
      </c>
      <c r="CS100" s="24">
        <f t="shared" si="127"/>
        <v>0</v>
      </c>
      <c r="CT100" s="24">
        <f t="shared" si="127"/>
        <v>0</v>
      </c>
      <c r="CU100" s="24">
        <f t="shared" si="127"/>
        <v>0</v>
      </c>
      <c r="CV100" s="24">
        <f t="shared" si="128"/>
        <v>0</v>
      </c>
      <c r="CW100" s="24">
        <f t="shared" si="128"/>
        <v>0</v>
      </c>
      <c r="CX100" s="24">
        <f t="shared" si="128"/>
        <v>0</v>
      </c>
      <c r="CY100" s="24">
        <f t="shared" si="129"/>
        <v>0</v>
      </c>
      <c r="CZ100" s="24">
        <f t="shared" si="129"/>
        <v>0</v>
      </c>
      <c r="DA100" s="24">
        <f t="shared" si="129"/>
        <v>0</v>
      </c>
      <c r="DB100" s="24">
        <f t="shared" si="130"/>
        <v>0</v>
      </c>
      <c r="DC100" s="24">
        <f t="shared" si="130"/>
        <v>23145104</v>
      </c>
      <c r="DD100" s="24">
        <f t="shared" si="130"/>
        <v>1641534</v>
      </c>
      <c r="DE100" s="24"/>
      <c r="DF100" s="24">
        <f t="shared" si="131"/>
        <v>0</v>
      </c>
      <c r="DG100" s="24">
        <f t="shared" si="131"/>
        <v>0</v>
      </c>
      <c r="DH100" s="24">
        <f t="shared" si="131"/>
        <v>0</v>
      </c>
      <c r="DJ100" s="77"/>
      <c r="DK100" s="77"/>
      <c r="DL100" s="196">
        <f t="shared" si="104"/>
        <v>113185104</v>
      </c>
      <c r="DM100" s="197">
        <f t="shared" si="105"/>
        <v>88398466</v>
      </c>
      <c r="DN100" s="198">
        <f t="shared" si="72"/>
        <v>0.78100794959732511</v>
      </c>
    </row>
    <row r="101" spans="1:118" ht="21" hidden="1" customHeight="1" x14ac:dyDescent="0.25">
      <c r="A101" s="248"/>
      <c r="B101" s="232"/>
      <c r="C101" s="69" t="s">
        <v>279</v>
      </c>
      <c r="D101" s="21" t="s">
        <v>280</v>
      </c>
      <c r="E101" s="22">
        <v>301</v>
      </c>
      <c r="F101" s="23" t="s">
        <v>281</v>
      </c>
      <c r="G101" s="24">
        <f t="shared" si="114"/>
        <v>0</v>
      </c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>
        <f>20000000-20000000</f>
        <v>0</v>
      </c>
      <c r="W101" s="24"/>
      <c r="X101" s="24"/>
      <c r="Y101" s="24"/>
      <c r="Z101" s="24"/>
      <c r="AA101" s="25" t="e">
        <f t="shared" si="115"/>
        <v>#DIV/0!</v>
      </c>
      <c r="AB101" s="24">
        <f t="shared" si="116"/>
        <v>0</v>
      </c>
      <c r="AC101" s="24"/>
      <c r="AD101" s="24"/>
      <c r="AE101" s="24"/>
      <c r="AF101" s="24"/>
      <c r="AG101" s="24"/>
      <c r="AH101" s="24"/>
      <c r="AI101" s="24"/>
      <c r="AJ101" s="24"/>
      <c r="AK101" s="24"/>
      <c r="AL101" s="24"/>
      <c r="AM101" s="24"/>
      <c r="AN101" s="24"/>
      <c r="AO101" s="24"/>
      <c r="AP101" s="24"/>
      <c r="AQ101" s="24"/>
      <c r="AR101" s="24"/>
      <c r="AS101" s="24"/>
      <c r="AT101" s="24"/>
      <c r="AU101" s="24"/>
      <c r="AV101" s="24"/>
      <c r="AW101" s="25" t="e">
        <f t="shared" si="117"/>
        <v>#DIV/0!</v>
      </c>
      <c r="AX101" s="24">
        <f t="shared" si="118"/>
        <v>0</v>
      </c>
      <c r="AY101" s="24">
        <f t="shared" si="119"/>
        <v>0</v>
      </c>
      <c r="AZ101" s="24">
        <f t="shared" si="119"/>
        <v>0</v>
      </c>
      <c r="BA101" s="24">
        <f t="shared" si="119"/>
        <v>0</v>
      </c>
      <c r="BB101" s="24">
        <f t="shared" si="120"/>
        <v>0</v>
      </c>
      <c r="BC101" s="24">
        <f t="shared" si="120"/>
        <v>0</v>
      </c>
      <c r="BD101" s="24">
        <f t="shared" si="120"/>
        <v>0</v>
      </c>
      <c r="BE101" s="24">
        <f t="shared" si="120"/>
        <v>0</v>
      </c>
      <c r="BF101" s="24">
        <f t="shared" si="120"/>
        <v>0</v>
      </c>
      <c r="BG101" s="24">
        <f t="shared" si="120"/>
        <v>0</v>
      </c>
      <c r="BH101" s="24">
        <f t="shared" si="120"/>
        <v>0</v>
      </c>
      <c r="BI101" s="24">
        <f t="shared" si="120"/>
        <v>0</v>
      </c>
      <c r="BJ101" s="24">
        <f t="shared" si="120"/>
        <v>0</v>
      </c>
      <c r="BK101" s="24">
        <f t="shared" si="120"/>
        <v>0</v>
      </c>
      <c r="BL101" s="24">
        <f t="shared" si="120"/>
        <v>0</v>
      </c>
      <c r="BM101" s="24">
        <f t="shared" si="120"/>
        <v>0</v>
      </c>
      <c r="BN101" s="24"/>
      <c r="BO101" s="24"/>
      <c r="BP101" s="24">
        <f t="shared" si="121"/>
        <v>0</v>
      </c>
      <c r="BQ101" s="24">
        <f t="shared" si="122"/>
        <v>0</v>
      </c>
      <c r="BR101" s="25" t="e">
        <f t="shared" si="123"/>
        <v>#DIV/0!</v>
      </c>
      <c r="BS101" s="24">
        <f t="shared" si="124"/>
        <v>0</v>
      </c>
      <c r="BT101" s="24"/>
      <c r="BU101" s="24"/>
      <c r="BV101" s="24"/>
      <c r="BW101" s="24"/>
      <c r="BX101" s="24"/>
      <c r="BY101" s="24"/>
      <c r="BZ101" s="24"/>
      <c r="CA101" s="24"/>
      <c r="CB101" s="24"/>
      <c r="CC101" s="24"/>
      <c r="CD101" s="24"/>
      <c r="CE101" s="24"/>
      <c r="CF101" s="24"/>
      <c r="CG101" s="24"/>
      <c r="CH101" s="24"/>
      <c r="CI101" s="24"/>
      <c r="CJ101" s="24"/>
      <c r="CK101" s="24"/>
      <c r="CL101" s="24"/>
      <c r="CM101" s="24"/>
      <c r="CN101" s="25" t="e">
        <f t="shared" si="125"/>
        <v>#DIV/0!</v>
      </c>
      <c r="CO101" s="24">
        <f t="shared" si="126"/>
        <v>0</v>
      </c>
      <c r="CP101" s="24">
        <f t="shared" si="127"/>
        <v>0</v>
      </c>
      <c r="CQ101" s="24">
        <f t="shared" si="127"/>
        <v>0</v>
      </c>
      <c r="CR101" s="24">
        <f t="shared" si="127"/>
        <v>0</v>
      </c>
      <c r="CS101" s="24">
        <f t="shared" si="127"/>
        <v>0</v>
      </c>
      <c r="CT101" s="24">
        <f t="shared" si="127"/>
        <v>0</v>
      </c>
      <c r="CU101" s="24">
        <f t="shared" si="127"/>
        <v>0</v>
      </c>
      <c r="CV101" s="24">
        <f t="shared" si="127"/>
        <v>0</v>
      </c>
      <c r="CW101" s="24">
        <f t="shared" si="127"/>
        <v>0</v>
      </c>
      <c r="CX101" s="24">
        <f t="shared" si="127"/>
        <v>0</v>
      </c>
      <c r="CY101" s="24">
        <f t="shared" si="129"/>
        <v>0</v>
      </c>
      <c r="CZ101" s="24">
        <f t="shared" si="129"/>
        <v>0</v>
      </c>
      <c r="DA101" s="24">
        <f t="shared" si="129"/>
        <v>0</v>
      </c>
      <c r="DB101" s="24">
        <f t="shared" si="130"/>
        <v>0</v>
      </c>
      <c r="DC101" s="24">
        <f t="shared" si="130"/>
        <v>0</v>
      </c>
      <c r="DD101" s="24">
        <f t="shared" si="130"/>
        <v>0</v>
      </c>
      <c r="DE101" s="24"/>
      <c r="DF101" s="24">
        <f t="shared" si="131"/>
        <v>0</v>
      </c>
      <c r="DG101" s="24">
        <f t="shared" si="131"/>
        <v>0</v>
      </c>
      <c r="DH101" s="24">
        <f t="shared" si="131"/>
        <v>0</v>
      </c>
      <c r="DJ101" s="77"/>
      <c r="DK101" s="77"/>
      <c r="DL101" s="196">
        <f t="shared" si="104"/>
        <v>0</v>
      </c>
      <c r="DM101" s="197">
        <f t="shared" si="105"/>
        <v>0</v>
      </c>
      <c r="DN101" s="198" t="e">
        <f t="shared" si="72"/>
        <v>#DIV/0!</v>
      </c>
    </row>
    <row r="102" spans="1:118" ht="32.25" hidden="1" customHeight="1" x14ac:dyDescent="0.25">
      <c r="A102" s="248"/>
      <c r="B102" s="233"/>
      <c r="C102" s="69" t="s">
        <v>282</v>
      </c>
      <c r="D102" s="21" t="s">
        <v>283</v>
      </c>
      <c r="E102" s="22">
        <v>301</v>
      </c>
      <c r="F102" s="23" t="s">
        <v>267</v>
      </c>
      <c r="G102" s="24">
        <f t="shared" si="114"/>
        <v>26000000</v>
      </c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>
        <v>26000000</v>
      </c>
      <c r="W102" s="24"/>
      <c r="X102" s="24"/>
      <c r="Y102" s="24"/>
      <c r="Z102" s="24"/>
      <c r="AA102" s="25">
        <f t="shared" si="115"/>
        <v>1</v>
      </c>
      <c r="AB102" s="24">
        <f t="shared" si="116"/>
        <v>26000000</v>
      </c>
      <c r="AC102" s="24"/>
      <c r="AD102" s="24"/>
      <c r="AE102" s="24"/>
      <c r="AF102" s="24"/>
      <c r="AG102" s="24"/>
      <c r="AH102" s="24"/>
      <c r="AI102" s="24"/>
      <c r="AJ102" s="24"/>
      <c r="AK102" s="24"/>
      <c r="AL102" s="24"/>
      <c r="AM102" s="24"/>
      <c r="AN102" s="24"/>
      <c r="AO102" s="24"/>
      <c r="AP102" s="24"/>
      <c r="AQ102" s="24"/>
      <c r="AR102" s="24">
        <f>+'[2]ENERO 2016'!$Z$190</f>
        <v>26000000</v>
      </c>
      <c r="AS102" s="24"/>
      <c r="AT102" s="24"/>
      <c r="AU102" s="24"/>
      <c r="AV102" s="24"/>
      <c r="AW102" s="25">
        <f t="shared" si="117"/>
        <v>0</v>
      </c>
      <c r="AX102" s="24">
        <f t="shared" si="118"/>
        <v>0</v>
      </c>
      <c r="AY102" s="24">
        <f t="shared" si="119"/>
        <v>0</v>
      </c>
      <c r="AZ102" s="24">
        <f t="shared" si="119"/>
        <v>0</v>
      </c>
      <c r="BA102" s="24">
        <f t="shared" si="119"/>
        <v>0</v>
      </c>
      <c r="BB102" s="24">
        <f t="shared" si="119"/>
        <v>0</v>
      </c>
      <c r="BC102" s="24">
        <f t="shared" si="119"/>
        <v>0</v>
      </c>
      <c r="BD102" s="24">
        <f t="shared" si="119"/>
        <v>0</v>
      </c>
      <c r="BE102" s="24">
        <f t="shared" si="119"/>
        <v>0</v>
      </c>
      <c r="BF102" s="24">
        <f t="shared" si="119"/>
        <v>0</v>
      </c>
      <c r="BG102" s="24">
        <f t="shared" si="119"/>
        <v>0</v>
      </c>
      <c r="BH102" s="24">
        <f t="shared" si="119"/>
        <v>0</v>
      </c>
      <c r="BI102" s="24">
        <f t="shared" si="119"/>
        <v>0</v>
      </c>
      <c r="BJ102" s="24">
        <f t="shared" si="119"/>
        <v>0</v>
      </c>
      <c r="BK102" s="24">
        <f t="shared" si="119"/>
        <v>0</v>
      </c>
      <c r="BL102" s="24">
        <f t="shared" si="119"/>
        <v>0</v>
      </c>
      <c r="BM102" s="24">
        <f t="shared" si="119"/>
        <v>0</v>
      </c>
      <c r="BN102" s="24"/>
      <c r="BO102" s="24">
        <f>X102-AT102</f>
        <v>0</v>
      </c>
      <c r="BP102" s="24">
        <f t="shared" si="121"/>
        <v>0</v>
      </c>
      <c r="BQ102" s="24">
        <f>Z102-AV102</f>
        <v>0</v>
      </c>
      <c r="BR102" s="25">
        <f t="shared" si="123"/>
        <v>0.79216442307692303</v>
      </c>
      <c r="BS102" s="24">
        <f t="shared" si="124"/>
        <v>20596275</v>
      </c>
      <c r="BT102" s="24"/>
      <c r="BU102" s="24"/>
      <c r="BV102" s="24"/>
      <c r="BW102" s="24"/>
      <c r="BX102" s="24"/>
      <c r="BY102" s="24"/>
      <c r="BZ102" s="24"/>
      <c r="CA102" s="24"/>
      <c r="CB102" s="24"/>
      <c r="CC102" s="24"/>
      <c r="CD102" s="24"/>
      <c r="CE102" s="24"/>
      <c r="CF102" s="24"/>
      <c r="CG102" s="24"/>
      <c r="CH102" s="24"/>
      <c r="CI102" s="24">
        <f>+'[1]SEPTIEMBRE 2016'!$H$890</f>
        <v>20596275</v>
      </c>
      <c r="CJ102" s="24"/>
      <c r="CK102" s="24"/>
      <c r="CL102" s="24"/>
      <c r="CM102" s="24"/>
      <c r="CN102" s="25">
        <f t="shared" si="125"/>
        <v>0.20783557692307697</v>
      </c>
      <c r="CO102" s="24">
        <f t="shared" si="126"/>
        <v>5403725</v>
      </c>
      <c r="CP102" s="24">
        <f t="shared" si="127"/>
        <v>0</v>
      </c>
      <c r="CQ102" s="24">
        <f t="shared" si="127"/>
        <v>0</v>
      </c>
      <c r="CR102" s="24">
        <f t="shared" si="127"/>
        <v>0</v>
      </c>
      <c r="CS102" s="24">
        <f t="shared" si="127"/>
        <v>0</v>
      </c>
      <c r="CT102" s="24">
        <f t="shared" si="127"/>
        <v>0</v>
      </c>
      <c r="CU102" s="24">
        <f t="shared" si="127"/>
        <v>0</v>
      </c>
      <c r="CV102" s="24">
        <f t="shared" si="127"/>
        <v>0</v>
      </c>
      <c r="CW102" s="24">
        <f t="shared" si="127"/>
        <v>0</v>
      </c>
      <c r="CX102" s="24">
        <f t="shared" si="127"/>
        <v>0</v>
      </c>
      <c r="CY102" s="24">
        <f t="shared" si="129"/>
        <v>0</v>
      </c>
      <c r="CZ102" s="24">
        <f t="shared" si="129"/>
        <v>0</v>
      </c>
      <c r="DA102" s="24">
        <f t="shared" si="129"/>
        <v>0</v>
      </c>
      <c r="DB102" s="24">
        <f>T102-CG102</f>
        <v>0</v>
      </c>
      <c r="DC102" s="24">
        <f>U102-CH102</f>
        <v>0</v>
      </c>
      <c r="DD102" s="24">
        <f>V102-CI102</f>
        <v>5403725</v>
      </c>
      <c r="DE102" s="24"/>
      <c r="DF102" s="24">
        <f>X102-CK102</f>
        <v>0</v>
      </c>
      <c r="DG102" s="24">
        <f>Y102-CL102</f>
        <v>0</v>
      </c>
      <c r="DH102" s="24">
        <f>Z102-CM102</f>
        <v>0</v>
      </c>
      <c r="DJ102" s="77"/>
      <c r="DK102" s="77"/>
      <c r="DL102" s="196">
        <f t="shared" si="104"/>
        <v>26000000</v>
      </c>
      <c r="DM102" s="197">
        <f t="shared" si="105"/>
        <v>20596275</v>
      </c>
      <c r="DN102" s="198">
        <f t="shared" si="72"/>
        <v>0.79216442307692303</v>
      </c>
    </row>
    <row r="103" spans="1:118" ht="33" hidden="1" customHeight="1" x14ac:dyDescent="0.25">
      <c r="A103" s="248"/>
      <c r="B103" s="86" t="s">
        <v>284</v>
      </c>
      <c r="C103" s="87" t="s">
        <v>285</v>
      </c>
      <c r="D103" s="21" t="s">
        <v>286</v>
      </c>
      <c r="E103" s="64">
        <v>301</v>
      </c>
      <c r="F103" s="23" t="s">
        <v>287</v>
      </c>
      <c r="G103" s="24">
        <f t="shared" si="114"/>
        <v>491057893</v>
      </c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>
        <v>142057893</v>
      </c>
      <c r="V103" s="24">
        <f>322000000+20000000</f>
        <v>342000000</v>
      </c>
      <c r="W103" s="24"/>
      <c r="X103" s="24"/>
      <c r="Y103" s="24"/>
      <c r="Z103" s="24">
        <f>1000000+6000000</f>
        <v>7000000</v>
      </c>
      <c r="AA103" s="25">
        <f t="shared" si="115"/>
        <v>0.79488837378284438</v>
      </c>
      <c r="AB103" s="24">
        <f t="shared" si="116"/>
        <v>390336210</v>
      </c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>
        <f>+'[1]SEPTIEMBRE 2016'!$Y$902</f>
        <v>49883210</v>
      </c>
      <c r="AR103" s="24">
        <f>+'[1]SEPTIEMBRE 2016'!$Z$902</f>
        <v>340453000</v>
      </c>
      <c r="AS103" s="24"/>
      <c r="AT103" s="24"/>
      <c r="AU103" s="24"/>
      <c r="AV103" s="24"/>
      <c r="AW103" s="25">
        <f t="shared" si="117"/>
        <v>0.20511162621715562</v>
      </c>
      <c r="AX103" s="24">
        <f t="shared" si="118"/>
        <v>100721683</v>
      </c>
      <c r="AY103" s="24">
        <f t="shared" si="119"/>
        <v>0</v>
      </c>
      <c r="AZ103" s="24">
        <f t="shared" si="119"/>
        <v>0</v>
      </c>
      <c r="BA103" s="24">
        <f t="shared" si="119"/>
        <v>0</v>
      </c>
      <c r="BB103" s="24">
        <f t="shared" ref="BB103:BM109" si="132">+K103-AG103</f>
        <v>0</v>
      </c>
      <c r="BC103" s="24">
        <f t="shared" si="132"/>
        <v>0</v>
      </c>
      <c r="BD103" s="24">
        <f t="shared" si="132"/>
        <v>0</v>
      </c>
      <c r="BE103" s="24">
        <f t="shared" si="132"/>
        <v>0</v>
      </c>
      <c r="BF103" s="24">
        <f t="shared" si="132"/>
        <v>0</v>
      </c>
      <c r="BG103" s="24">
        <f t="shared" si="132"/>
        <v>0</v>
      </c>
      <c r="BH103" s="24">
        <f t="shared" si="132"/>
        <v>0</v>
      </c>
      <c r="BI103" s="24">
        <f t="shared" si="132"/>
        <v>0</v>
      </c>
      <c r="BJ103" s="24">
        <f t="shared" si="132"/>
        <v>0</v>
      </c>
      <c r="BK103" s="24">
        <f t="shared" si="132"/>
        <v>0</v>
      </c>
      <c r="BL103" s="24">
        <f t="shared" si="132"/>
        <v>92174683</v>
      </c>
      <c r="BM103" s="24">
        <f t="shared" si="132"/>
        <v>1547000</v>
      </c>
      <c r="BN103" s="24"/>
      <c r="BO103" s="24"/>
      <c r="BP103" s="24">
        <f t="shared" si="121"/>
        <v>0</v>
      </c>
      <c r="BQ103" s="24">
        <f t="shared" ref="BQ103:BQ109" si="133">+Z103-AV103</f>
        <v>7000000</v>
      </c>
      <c r="BR103" s="25">
        <f t="shared" si="123"/>
        <v>0.69829692972677659</v>
      </c>
      <c r="BS103" s="24">
        <f t="shared" si="124"/>
        <v>342904219</v>
      </c>
      <c r="BT103" s="24"/>
      <c r="BU103" s="24"/>
      <c r="BV103" s="24"/>
      <c r="BW103" s="24"/>
      <c r="BX103" s="24"/>
      <c r="BY103" s="24"/>
      <c r="BZ103" s="24"/>
      <c r="CA103" s="24"/>
      <c r="CB103" s="24"/>
      <c r="CC103" s="24"/>
      <c r="CD103" s="24"/>
      <c r="CE103" s="24"/>
      <c r="CF103" s="24"/>
      <c r="CG103" s="24"/>
      <c r="CH103" s="24">
        <f>+'[1]SEPTIEMBRE 2016'!$Y$958+'[1]SEPTIEMBRE 2016'!$H$961+'[1]SEPTIEMBRE 2016'!$H$962</f>
        <v>11701994</v>
      </c>
      <c r="CI103" s="24">
        <f>+'[1]SEPTIEMBRE 2016'!$H$900-CH103</f>
        <v>331202225</v>
      </c>
      <c r="CJ103" s="24"/>
      <c r="CK103" s="24"/>
      <c r="CL103" s="24"/>
      <c r="CM103" s="24"/>
      <c r="CN103" s="25">
        <f t="shared" si="125"/>
        <v>0.30170307027322341</v>
      </c>
      <c r="CO103" s="24">
        <f t="shared" si="126"/>
        <v>148153674</v>
      </c>
      <c r="CP103" s="24">
        <f t="shared" si="127"/>
        <v>0</v>
      </c>
      <c r="CQ103" s="24">
        <f t="shared" si="127"/>
        <v>0</v>
      </c>
      <c r="CR103" s="24">
        <f t="shared" si="127"/>
        <v>0</v>
      </c>
      <c r="CS103" s="24">
        <f t="shared" si="127"/>
        <v>0</v>
      </c>
      <c r="CT103" s="24">
        <f t="shared" si="127"/>
        <v>0</v>
      </c>
      <c r="CU103" s="24">
        <f t="shared" si="127"/>
        <v>0</v>
      </c>
      <c r="CV103" s="24">
        <f t="shared" ref="CV103:CW109" si="134">+N103-CA103</f>
        <v>0</v>
      </c>
      <c r="CW103" s="24">
        <f t="shared" si="134"/>
        <v>0</v>
      </c>
      <c r="CX103" s="24">
        <f t="shared" si="127"/>
        <v>0</v>
      </c>
      <c r="CY103" s="24">
        <f t="shared" si="129"/>
        <v>0</v>
      </c>
      <c r="CZ103" s="24">
        <f t="shared" si="129"/>
        <v>0</v>
      </c>
      <c r="DA103" s="24">
        <f t="shared" si="129"/>
        <v>0</v>
      </c>
      <c r="DB103" s="24">
        <f t="shared" ref="DB103:DD109" si="135">+T103-CG103</f>
        <v>0</v>
      </c>
      <c r="DC103" s="24">
        <f t="shared" si="135"/>
        <v>130355899</v>
      </c>
      <c r="DD103" s="24">
        <f t="shared" si="135"/>
        <v>10797775</v>
      </c>
      <c r="DE103" s="24"/>
      <c r="DF103" s="24">
        <f t="shared" ref="DF103:DH109" si="136">+X103-CK103</f>
        <v>0</v>
      </c>
      <c r="DG103" s="24">
        <f t="shared" si="136"/>
        <v>0</v>
      </c>
      <c r="DH103" s="24">
        <f t="shared" si="136"/>
        <v>7000000</v>
      </c>
      <c r="DJ103" s="77"/>
      <c r="DK103" s="77"/>
      <c r="DL103" s="196">
        <f t="shared" si="104"/>
        <v>491057893</v>
      </c>
      <c r="DM103" s="197">
        <f t="shared" si="105"/>
        <v>342904219</v>
      </c>
      <c r="DN103" s="198">
        <f t="shared" si="72"/>
        <v>0.69829692972677659</v>
      </c>
    </row>
    <row r="104" spans="1:118" ht="54.75" hidden="1" customHeight="1" x14ac:dyDescent="0.25">
      <c r="A104" s="248"/>
      <c r="B104" s="88" t="s">
        <v>288</v>
      </c>
      <c r="C104" s="69" t="s">
        <v>289</v>
      </c>
      <c r="D104" s="21" t="s">
        <v>290</v>
      </c>
      <c r="E104" s="22">
        <v>301</v>
      </c>
      <c r="F104" s="23" t="s">
        <v>291</v>
      </c>
      <c r="G104" s="24">
        <f t="shared" si="114"/>
        <v>329125485</v>
      </c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>
        <v>316000000</v>
      </c>
      <c r="W104" s="24"/>
      <c r="X104" s="24"/>
      <c r="Y104" s="24"/>
      <c r="Z104" s="24">
        <f>6000000+1000000+2425485+1700000+2000000</f>
        <v>13125485</v>
      </c>
      <c r="AA104" s="25">
        <f t="shared" si="115"/>
        <v>0.77968701512129945</v>
      </c>
      <c r="AB104" s="24">
        <f t="shared" si="116"/>
        <v>256614867</v>
      </c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>
        <f>+'[1]SEPTIEMBRE 2016'!$Z$973</f>
        <v>250489382</v>
      </c>
      <c r="AS104" s="24"/>
      <c r="AT104" s="24"/>
      <c r="AU104" s="24"/>
      <c r="AV104" s="24">
        <f>+'[4]AGOSTO 2016'!$AG$812</f>
        <v>6125485</v>
      </c>
      <c r="AW104" s="25">
        <f t="shared" si="117"/>
        <v>0.22031298487870055</v>
      </c>
      <c r="AX104" s="24">
        <f t="shared" si="118"/>
        <v>72510618</v>
      </c>
      <c r="AY104" s="24">
        <f t="shared" si="119"/>
        <v>0</v>
      </c>
      <c r="AZ104" s="24">
        <f t="shared" si="119"/>
        <v>0</v>
      </c>
      <c r="BA104" s="24">
        <f t="shared" si="119"/>
        <v>0</v>
      </c>
      <c r="BB104" s="24">
        <f t="shared" si="132"/>
        <v>0</v>
      </c>
      <c r="BC104" s="24">
        <f t="shared" si="132"/>
        <v>0</v>
      </c>
      <c r="BD104" s="24">
        <f t="shared" si="132"/>
        <v>0</v>
      </c>
      <c r="BE104" s="24">
        <f t="shared" si="132"/>
        <v>0</v>
      </c>
      <c r="BF104" s="24">
        <f t="shared" si="132"/>
        <v>0</v>
      </c>
      <c r="BG104" s="24">
        <f t="shared" si="132"/>
        <v>0</v>
      </c>
      <c r="BH104" s="24">
        <f t="shared" si="132"/>
        <v>0</v>
      </c>
      <c r="BI104" s="24">
        <f t="shared" si="132"/>
        <v>0</v>
      </c>
      <c r="BJ104" s="24">
        <f t="shared" si="132"/>
        <v>0</v>
      </c>
      <c r="BK104" s="24">
        <f t="shared" si="132"/>
        <v>0</v>
      </c>
      <c r="BL104" s="24">
        <f t="shared" si="132"/>
        <v>0</v>
      </c>
      <c r="BM104" s="24">
        <f t="shared" si="132"/>
        <v>65510618</v>
      </c>
      <c r="BN104" s="24"/>
      <c r="BO104" s="24"/>
      <c r="BP104" s="24">
        <f t="shared" si="121"/>
        <v>0</v>
      </c>
      <c r="BQ104" s="24">
        <f t="shared" si="133"/>
        <v>7000000</v>
      </c>
      <c r="BR104" s="25">
        <f t="shared" si="123"/>
        <v>0.63399480292448329</v>
      </c>
      <c r="BS104" s="24">
        <f t="shared" si="124"/>
        <v>208663847</v>
      </c>
      <c r="BT104" s="24"/>
      <c r="BU104" s="24"/>
      <c r="BV104" s="24"/>
      <c r="BW104" s="24"/>
      <c r="BX104" s="24"/>
      <c r="BY104" s="24"/>
      <c r="BZ104" s="24"/>
      <c r="CA104" s="24"/>
      <c r="CB104" s="24"/>
      <c r="CC104" s="24"/>
      <c r="CD104" s="24"/>
      <c r="CE104" s="24"/>
      <c r="CF104" s="24"/>
      <c r="CG104" s="24"/>
      <c r="CH104" s="24"/>
      <c r="CI104" s="24">
        <f>'[1]SEPTIEMBRE 2016'!$H$971-CM104</f>
        <v>202631882</v>
      </c>
      <c r="CJ104" s="24"/>
      <c r="CK104" s="24"/>
      <c r="CL104" s="24"/>
      <c r="CM104" s="24">
        <f>+'[1]SEPTIEMBRE 2016'!$H$1025+'[1]SEPTIEMBRE 2016'!$H$1011+'[1]SEPTIEMBRE 2016'!$H$1001+'[1]SEPTIEMBRE 2016'!$H$992+'[1]SEPTIEMBRE 2016'!$H$991</f>
        <v>6031965</v>
      </c>
      <c r="CN104" s="25">
        <f t="shared" si="125"/>
        <v>0.36600519707551671</v>
      </c>
      <c r="CO104" s="24">
        <f t="shared" si="126"/>
        <v>120461638</v>
      </c>
      <c r="CP104" s="24">
        <f t="shared" si="127"/>
        <v>0</v>
      </c>
      <c r="CQ104" s="24">
        <f t="shared" si="127"/>
        <v>0</v>
      </c>
      <c r="CR104" s="24">
        <f t="shared" si="127"/>
        <v>0</v>
      </c>
      <c r="CS104" s="24">
        <f t="shared" si="127"/>
        <v>0</v>
      </c>
      <c r="CT104" s="24">
        <f t="shared" si="127"/>
        <v>0</v>
      </c>
      <c r="CU104" s="24">
        <f t="shared" si="127"/>
        <v>0</v>
      </c>
      <c r="CV104" s="24">
        <f t="shared" si="134"/>
        <v>0</v>
      </c>
      <c r="CW104" s="24">
        <f t="shared" si="134"/>
        <v>0</v>
      </c>
      <c r="CX104" s="24">
        <f t="shared" si="127"/>
        <v>0</v>
      </c>
      <c r="CY104" s="24">
        <f t="shared" si="129"/>
        <v>0</v>
      </c>
      <c r="CZ104" s="24">
        <f t="shared" si="129"/>
        <v>0</v>
      </c>
      <c r="DA104" s="24">
        <f t="shared" si="129"/>
        <v>0</v>
      </c>
      <c r="DB104" s="24">
        <f t="shared" si="135"/>
        <v>0</v>
      </c>
      <c r="DC104" s="24">
        <f t="shared" si="135"/>
        <v>0</v>
      </c>
      <c r="DD104" s="24">
        <f t="shared" si="135"/>
        <v>113368118</v>
      </c>
      <c r="DE104" s="24"/>
      <c r="DF104" s="24">
        <f t="shared" si="136"/>
        <v>0</v>
      </c>
      <c r="DG104" s="24">
        <f t="shared" si="136"/>
        <v>0</v>
      </c>
      <c r="DH104" s="24">
        <f t="shared" si="136"/>
        <v>7093520</v>
      </c>
      <c r="DJ104" s="77"/>
      <c r="DK104" s="77"/>
      <c r="DL104" s="196">
        <f t="shared" si="104"/>
        <v>329125485</v>
      </c>
      <c r="DM104" s="197">
        <f t="shared" si="105"/>
        <v>208663847</v>
      </c>
      <c r="DN104" s="198">
        <f t="shared" si="72"/>
        <v>0.63399480292448329</v>
      </c>
    </row>
    <row r="105" spans="1:118" ht="42" hidden="1" customHeight="1" x14ac:dyDescent="0.25">
      <c r="A105" s="248"/>
      <c r="B105" s="88" t="s">
        <v>292</v>
      </c>
      <c r="C105" s="69" t="s">
        <v>293</v>
      </c>
      <c r="D105" s="21" t="s">
        <v>294</v>
      </c>
      <c r="E105" s="22">
        <v>301</v>
      </c>
      <c r="F105" s="23" t="s">
        <v>295</v>
      </c>
      <c r="G105" s="24">
        <f t="shared" si="114"/>
        <v>52155066</v>
      </c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>
        <f>67000000-30600000</f>
        <v>36400000</v>
      </c>
      <c r="W105" s="24"/>
      <c r="X105" s="24"/>
      <c r="Y105" s="24"/>
      <c r="Z105" s="24">
        <f>2000000+2682410+1000000+257590+3915066+900000+5000000</f>
        <v>15755066</v>
      </c>
      <c r="AA105" s="25">
        <f t="shared" si="115"/>
        <v>0.3723511729426246</v>
      </c>
      <c r="AB105" s="24">
        <f t="shared" si="116"/>
        <v>19420000</v>
      </c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>
        <f>+'[6]JUNIO 2016'!$Z$626</f>
        <v>17580000</v>
      </c>
      <c r="AS105" s="24"/>
      <c r="AT105" s="24"/>
      <c r="AU105" s="24"/>
      <c r="AV105" s="24">
        <f>+'[6]JUNIO 2016'!$AG$626</f>
        <v>1840000</v>
      </c>
      <c r="AW105" s="25">
        <f t="shared" si="117"/>
        <v>0.62764882705737546</v>
      </c>
      <c r="AX105" s="24">
        <f t="shared" si="118"/>
        <v>32735066</v>
      </c>
      <c r="AY105" s="24">
        <f t="shared" si="119"/>
        <v>0</v>
      </c>
      <c r="AZ105" s="24">
        <f t="shared" si="119"/>
        <v>0</v>
      </c>
      <c r="BA105" s="24">
        <f t="shared" si="119"/>
        <v>0</v>
      </c>
      <c r="BB105" s="24">
        <f t="shared" si="132"/>
        <v>0</v>
      </c>
      <c r="BC105" s="24">
        <f t="shared" si="132"/>
        <v>0</v>
      </c>
      <c r="BD105" s="24">
        <f t="shared" si="132"/>
        <v>0</v>
      </c>
      <c r="BE105" s="24">
        <f t="shared" si="132"/>
        <v>0</v>
      </c>
      <c r="BF105" s="24">
        <f t="shared" si="132"/>
        <v>0</v>
      </c>
      <c r="BG105" s="24">
        <f t="shared" si="132"/>
        <v>0</v>
      </c>
      <c r="BH105" s="24">
        <f t="shared" si="132"/>
        <v>0</v>
      </c>
      <c r="BI105" s="24">
        <f t="shared" si="132"/>
        <v>0</v>
      </c>
      <c r="BJ105" s="24">
        <f t="shared" si="132"/>
        <v>0</v>
      </c>
      <c r="BK105" s="24">
        <f t="shared" si="132"/>
        <v>0</v>
      </c>
      <c r="BL105" s="24">
        <f t="shared" si="132"/>
        <v>0</v>
      </c>
      <c r="BM105" s="24">
        <f t="shared" si="132"/>
        <v>18820000</v>
      </c>
      <c r="BN105" s="24"/>
      <c r="BO105" s="24"/>
      <c r="BP105" s="24">
        <f t="shared" si="121"/>
        <v>0</v>
      </c>
      <c r="BQ105" s="24">
        <f t="shared" si="133"/>
        <v>13915066</v>
      </c>
      <c r="BR105" s="25">
        <f t="shared" si="123"/>
        <v>0.3723511729426246</v>
      </c>
      <c r="BS105" s="24">
        <f t="shared" si="124"/>
        <v>19420000</v>
      </c>
      <c r="BT105" s="24"/>
      <c r="BU105" s="24"/>
      <c r="BV105" s="24"/>
      <c r="BW105" s="24"/>
      <c r="BX105" s="24"/>
      <c r="BY105" s="24"/>
      <c r="BZ105" s="24"/>
      <c r="CA105" s="24"/>
      <c r="CB105" s="24"/>
      <c r="CC105" s="24"/>
      <c r="CD105" s="24"/>
      <c r="CE105" s="24"/>
      <c r="CF105" s="24"/>
      <c r="CG105" s="24"/>
      <c r="CH105" s="24"/>
      <c r="CI105" s="24">
        <f>+'[6]JUNIO 2016'!$H$629</f>
        <v>17580000</v>
      </c>
      <c r="CJ105" s="24"/>
      <c r="CK105" s="24"/>
      <c r="CL105" s="24"/>
      <c r="CM105" s="24">
        <f>+'[6]JUNIO 2016'!$H$627+'[6]JUNIO 2016'!$H$628+'[6]JUNIO 2016'!$H$631</f>
        <v>1840000</v>
      </c>
      <c r="CN105" s="25">
        <f t="shared" si="125"/>
        <v>0.62764882705737546</v>
      </c>
      <c r="CO105" s="24">
        <f t="shared" si="126"/>
        <v>32735066</v>
      </c>
      <c r="CP105" s="24">
        <f t="shared" si="127"/>
        <v>0</v>
      </c>
      <c r="CQ105" s="24">
        <f t="shared" si="127"/>
        <v>0</v>
      </c>
      <c r="CR105" s="24">
        <f t="shared" si="127"/>
        <v>0</v>
      </c>
      <c r="CS105" s="24">
        <f t="shared" si="127"/>
        <v>0</v>
      </c>
      <c r="CT105" s="24">
        <f t="shared" si="127"/>
        <v>0</v>
      </c>
      <c r="CU105" s="24">
        <f t="shared" si="127"/>
        <v>0</v>
      </c>
      <c r="CV105" s="24">
        <f t="shared" si="134"/>
        <v>0</v>
      </c>
      <c r="CW105" s="24">
        <f t="shared" si="134"/>
        <v>0</v>
      </c>
      <c r="CX105" s="24">
        <f t="shared" si="127"/>
        <v>0</v>
      </c>
      <c r="CY105" s="24">
        <f t="shared" si="129"/>
        <v>0</v>
      </c>
      <c r="CZ105" s="24">
        <f t="shared" si="129"/>
        <v>0</v>
      </c>
      <c r="DA105" s="24">
        <f t="shared" si="129"/>
        <v>0</v>
      </c>
      <c r="DB105" s="24">
        <f t="shared" si="135"/>
        <v>0</v>
      </c>
      <c r="DC105" s="24">
        <f t="shared" si="135"/>
        <v>0</v>
      </c>
      <c r="DD105" s="24">
        <f t="shared" si="135"/>
        <v>18820000</v>
      </c>
      <c r="DE105" s="24"/>
      <c r="DF105" s="24">
        <f t="shared" si="136"/>
        <v>0</v>
      </c>
      <c r="DG105" s="24">
        <f t="shared" si="136"/>
        <v>0</v>
      </c>
      <c r="DH105" s="24">
        <f t="shared" si="136"/>
        <v>13915066</v>
      </c>
      <c r="DJ105" s="77"/>
      <c r="DK105" s="77"/>
      <c r="DL105" s="196">
        <f t="shared" si="104"/>
        <v>52155066</v>
      </c>
      <c r="DM105" s="197">
        <f t="shared" si="105"/>
        <v>19420000</v>
      </c>
      <c r="DN105" s="198">
        <f t="shared" si="72"/>
        <v>0.3723511729426246</v>
      </c>
    </row>
    <row r="106" spans="1:118" ht="33" hidden="1" customHeight="1" x14ac:dyDescent="0.25">
      <c r="A106" s="248"/>
      <c r="B106" s="231" t="s">
        <v>296</v>
      </c>
      <c r="C106" s="69" t="s">
        <v>297</v>
      </c>
      <c r="D106" s="21" t="s">
        <v>298</v>
      </c>
      <c r="E106" s="22">
        <v>301</v>
      </c>
      <c r="F106" s="23" t="s">
        <v>267</v>
      </c>
      <c r="G106" s="24">
        <f t="shared" si="114"/>
        <v>1317000000</v>
      </c>
      <c r="H106" s="24">
        <v>200000000</v>
      </c>
      <c r="I106" s="24">
        <v>268168096</v>
      </c>
      <c r="J106" s="24"/>
      <c r="K106" s="24">
        <v>701280247</v>
      </c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>
        <f>102551657+22000000+23000000</f>
        <v>147551657</v>
      </c>
      <c r="W106" s="24"/>
      <c r="X106" s="24"/>
      <c r="Y106" s="24"/>
      <c r="Z106" s="24"/>
      <c r="AA106" s="25">
        <f t="shared" si="115"/>
        <v>0.99726176385725129</v>
      </c>
      <c r="AB106" s="24">
        <f t="shared" si="116"/>
        <v>1313393743</v>
      </c>
      <c r="AC106" s="24"/>
      <c r="AD106" s="24">
        <f>+'[1]SEPTIEMBRE 2016'!$K$1045</f>
        <v>198408143</v>
      </c>
      <c r="AE106" s="24">
        <f>+'[2]ENERO 2016'!$M$218</f>
        <v>268168096</v>
      </c>
      <c r="AF106" s="24"/>
      <c r="AG106" s="24">
        <f>+'[2]ENERO 2016'!$O$218</f>
        <v>701280247</v>
      </c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>
        <f>+'[1]SEPTIEMBRE 2016'!$Z$1045</f>
        <v>145537257</v>
      </c>
      <c r="AS106" s="24"/>
      <c r="AT106" s="24"/>
      <c r="AU106" s="24"/>
      <c r="AV106" s="24"/>
      <c r="AW106" s="25">
        <f t="shared" si="117"/>
        <v>2.7382361427487067E-3</v>
      </c>
      <c r="AX106" s="24">
        <f t="shared" si="118"/>
        <v>3606257</v>
      </c>
      <c r="AY106" s="24">
        <f t="shared" si="119"/>
        <v>1591857</v>
      </c>
      <c r="AZ106" s="24">
        <f t="shared" si="119"/>
        <v>0</v>
      </c>
      <c r="BA106" s="24">
        <f t="shared" si="119"/>
        <v>0</v>
      </c>
      <c r="BB106" s="24">
        <f t="shared" si="132"/>
        <v>0</v>
      </c>
      <c r="BC106" s="24">
        <f t="shared" si="132"/>
        <v>0</v>
      </c>
      <c r="BD106" s="24">
        <f t="shared" si="132"/>
        <v>0</v>
      </c>
      <c r="BE106" s="24">
        <f t="shared" si="132"/>
        <v>0</v>
      </c>
      <c r="BF106" s="24">
        <f t="shared" si="132"/>
        <v>0</v>
      </c>
      <c r="BG106" s="24">
        <f t="shared" si="132"/>
        <v>0</v>
      </c>
      <c r="BH106" s="24">
        <f t="shared" si="132"/>
        <v>0</v>
      </c>
      <c r="BI106" s="24">
        <f t="shared" si="132"/>
        <v>0</v>
      </c>
      <c r="BJ106" s="24">
        <f t="shared" si="132"/>
        <v>0</v>
      </c>
      <c r="BK106" s="24">
        <f t="shared" si="132"/>
        <v>0</v>
      </c>
      <c r="BL106" s="24">
        <f t="shared" si="132"/>
        <v>0</v>
      </c>
      <c r="BM106" s="24">
        <f t="shared" si="132"/>
        <v>2014400</v>
      </c>
      <c r="BN106" s="24"/>
      <c r="BO106" s="24"/>
      <c r="BP106" s="24">
        <f t="shared" si="121"/>
        <v>0</v>
      </c>
      <c r="BQ106" s="24">
        <f t="shared" si="133"/>
        <v>0</v>
      </c>
      <c r="BR106" s="25">
        <f t="shared" si="123"/>
        <v>0.99726176385725129</v>
      </c>
      <c r="BS106" s="24">
        <f t="shared" si="124"/>
        <v>1313393743</v>
      </c>
      <c r="BT106" s="24"/>
      <c r="BU106" s="24">
        <f>+'[4]AGOSTO 2016'!$H$881</f>
        <v>198408143</v>
      </c>
      <c r="BV106" s="24">
        <v>268168096</v>
      </c>
      <c r="BW106" s="24"/>
      <c r="BX106" s="24">
        <v>701280247</v>
      </c>
      <c r="BY106" s="24"/>
      <c r="BZ106" s="24"/>
      <c r="CA106" s="24"/>
      <c r="CB106" s="24"/>
      <c r="CC106" s="24"/>
      <c r="CD106" s="24"/>
      <c r="CE106" s="24"/>
      <c r="CF106" s="24"/>
      <c r="CG106" s="24"/>
      <c r="CH106" s="24"/>
      <c r="CI106" s="24">
        <f>'[1]SEPTIEMBRE 2016'!$H$1057+'[1]SEPTIEMBRE 2016'!$H$1060+'[1]SEPTIEMBRE 2016'!$H$1062</f>
        <v>145537257</v>
      </c>
      <c r="CJ106" s="24"/>
      <c r="CK106" s="24"/>
      <c r="CL106" s="24"/>
      <c r="CM106" s="24"/>
      <c r="CN106" s="25">
        <f t="shared" si="125"/>
        <v>2.7382361427487067E-3</v>
      </c>
      <c r="CO106" s="24">
        <f t="shared" si="126"/>
        <v>3606257</v>
      </c>
      <c r="CP106" s="24">
        <f t="shared" si="127"/>
        <v>1591857</v>
      </c>
      <c r="CQ106" s="24">
        <f t="shared" si="127"/>
        <v>0</v>
      </c>
      <c r="CR106" s="24">
        <f t="shared" si="127"/>
        <v>0</v>
      </c>
      <c r="CS106" s="24">
        <f t="shared" si="127"/>
        <v>0</v>
      </c>
      <c r="CT106" s="24">
        <f t="shared" si="127"/>
        <v>0</v>
      </c>
      <c r="CU106" s="24">
        <f t="shared" si="127"/>
        <v>0</v>
      </c>
      <c r="CV106" s="24">
        <f t="shared" si="134"/>
        <v>0</v>
      </c>
      <c r="CW106" s="24">
        <f t="shared" si="134"/>
        <v>0</v>
      </c>
      <c r="CX106" s="24">
        <f t="shared" si="127"/>
        <v>0</v>
      </c>
      <c r="CY106" s="24">
        <f t="shared" si="129"/>
        <v>0</v>
      </c>
      <c r="CZ106" s="24">
        <f t="shared" si="129"/>
        <v>0</v>
      </c>
      <c r="DA106" s="24">
        <f t="shared" si="129"/>
        <v>0</v>
      </c>
      <c r="DB106" s="24">
        <f t="shared" si="135"/>
        <v>0</v>
      </c>
      <c r="DC106" s="24">
        <f t="shared" si="135"/>
        <v>0</v>
      </c>
      <c r="DD106" s="24">
        <f t="shared" si="135"/>
        <v>2014400</v>
      </c>
      <c r="DE106" s="24"/>
      <c r="DF106" s="24">
        <f t="shared" si="136"/>
        <v>0</v>
      </c>
      <c r="DG106" s="24">
        <f t="shared" si="136"/>
        <v>0</v>
      </c>
      <c r="DH106" s="24">
        <f t="shared" si="136"/>
        <v>0</v>
      </c>
      <c r="DJ106" s="77"/>
      <c r="DK106" s="77"/>
      <c r="DL106" s="196">
        <f t="shared" si="104"/>
        <v>1317000000</v>
      </c>
      <c r="DM106" s="197">
        <f t="shared" si="105"/>
        <v>1313393743</v>
      </c>
      <c r="DN106" s="198">
        <f t="shared" si="72"/>
        <v>0.99726176385725129</v>
      </c>
    </row>
    <row r="107" spans="1:118" ht="38.25" hidden="1" customHeight="1" x14ac:dyDescent="0.25">
      <c r="A107" s="248"/>
      <c r="B107" s="232"/>
      <c r="C107" s="69" t="s">
        <v>299</v>
      </c>
      <c r="D107" s="21" t="s">
        <v>300</v>
      </c>
      <c r="E107" s="22">
        <v>301</v>
      </c>
      <c r="F107" s="23" t="s">
        <v>267</v>
      </c>
      <c r="G107" s="24">
        <f t="shared" si="114"/>
        <v>20000000</v>
      </c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>
        <v>20000000</v>
      </c>
      <c r="W107" s="24"/>
      <c r="X107" s="24"/>
      <c r="Y107" s="24"/>
      <c r="Z107" s="24"/>
      <c r="AA107" s="25">
        <f t="shared" si="115"/>
        <v>1</v>
      </c>
      <c r="AB107" s="24">
        <f t="shared" si="116"/>
        <v>20000000</v>
      </c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>
        <f>+'[2]ENERO 2016'!$Z$227</f>
        <v>20000000</v>
      </c>
      <c r="AS107" s="24"/>
      <c r="AT107" s="24"/>
      <c r="AU107" s="24"/>
      <c r="AV107" s="24"/>
      <c r="AW107" s="25">
        <f t="shared" si="117"/>
        <v>0</v>
      </c>
      <c r="AX107" s="24">
        <f t="shared" si="118"/>
        <v>0</v>
      </c>
      <c r="AY107" s="24">
        <f t="shared" si="119"/>
        <v>0</v>
      </c>
      <c r="AZ107" s="24">
        <f t="shared" si="119"/>
        <v>0</v>
      </c>
      <c r="BA107" s="24">
        <f t="shared" si="119"/>
        <v>0</v>
      </c>
      <c r="BB107" s="24">
        <f t="shared" si="132"/>
        <v>0</v>
      </c>
      <c r="BC107" s="24">
        <f t="shared" si="132"/>
        <v>0</v>
      </c>
      <c r="BD107" s="24">
        <f t="shared" si="132"/>
        <v>0</v>
      </c>
      <c r="BE107" s="24">
        <f t="shared" si="132"/>
        <v>0</v>
      </c>
      <c r="BF107" s="24">
        <f t="shared" si="132"/>
        <v>0</v>
      </c>
      <c r="BG107" s="24">
        <f t="shared" si="132"/>
        <v>0</v>
      </c>
      <c r="BH107" s="24">
        <f t="shared" si="132"/>
        <v>0</v>
      </c>
      <c r="BI107" s="24">
        <f t="shared" si="132"/>
        <v>0</v>
      </c>
      <c r="BJ107" s="24">
        <f t="shared" si="132"/>
        <v>0</v>
      </c>
      <c r="BK107" s="24">
        <f t="shared" si="132"/>
        <v>0</v>
      </c>
      <c r="BL107" s="24">
        <f t="shared" si="132"/>
        <v>0</v>
      </c>
      <c r="BM107" s="24">
        <f t="shared" si="132"/>
        <v>0</v>
      </c>
      <c r="BN107" s="24"/>
      <c r="BO107" s="24"/>
      <c r="BP107" s="24">
        <f t="shared" si="121"/>
        <v>0</v>
      </c>
      <c r="BQ107" s="24">
        <f t="shared" si="133"/>
        <v>0</v>
      </c>
      <c r="BR107" s="25">
        <f t="shared" si="123"/>
        <v>0.95945619999999998</v>
      </c>
      <c r="BS107" s="24">
        <f t="shared" si="124"/>
        <v>19189124</v>
      </c>
      <c r="BT107" s="24"/>
      <c r="BU107" s="24"/>
      <c r="BV107" s="24"/>
      <c r="BW107" s="24"/>
      <c r="BX107" s="24"/>
      <c r="BY107" s="24"/>
      <c r="BZ107" s="24"/>
      <c r="CA107" s="24"/>
      <c r="CB107" s="24"/>
      <c r="CC107" s="24"/>
      <c r="CD107" s="24"/>
      <c r="CE107" s="24"/>
      <c r="CF107" s="24"/>
      <c r="CG107" s="24"/>
      <c r="CH107" s="24"/>
      <c r="CI107" s="24">
        <f>+'[4]AGOSTO 2016'!$H$899</f>
        <v>19189124</v>
      </c>
      <c r="CJ107" s="24"/>
      <c r="CK107" s="24"/>
      <c r="CL107" s="24"/>
      <c r="CM107" s="24"/>
      <c r="CN107" s="25">
        <f t="shared" si="125"/>
        <v>4.0543800000000019E-2</v>
      </c>
      <c r="CO107" s="24">
        <f t="shared" si="126"/>
        <v>810876</v>
      </c>
      <c r="CP107" s="24">
        <f t="shared" si="127"/>
        <v>0</v>
      </c>
      <c r="CQ107" s="24">
        <f t="shared" si="127"/>
        <v>0</v>
      </c>
      <c r="CR107" s="24">
        <f t="shared" si="127"/>
        <v>0</v>
      </c>
      <c r="CS107" s="24">
        <f t="shared" si="127"/>
        <v>0</v>
      </c>
      <c r="CT107" s="24">
        <f t="shared" si="127"/>
        <v>0</v>
      </c>
      <c r="CU107" s="24">
        <f t="shared" si="127"/>
        <v>0</v>
      </c>
      <c r="CV107" s="24">
        <f t="shared" si="134"/>
        <v>0</v>
      </c>
      <c r="CW107" s="24">
        <f t="shared" si="134"/>
        <v>0</v>
      </c>
      <c r="CX107" s="24">
        <f t="shared" si="127"/>
        <v>0</v>
      </c>
      <c r="CY107" s="24">
        <f t="shared" si="129"/>
        <v>0</v>
      </c>
      <c r="CZ107" s="24">
        <f t="shared" si="129"/>
        <v>0</v>
      </c>
      <c r="DA107" s="24">
        <f t="shared" si="129"/>
        <v>0</v>
      </c>
      <c r="DB107" s="24">
        <f t="shared" si="135"/>
        <v>0</v>
      </c>
      <c r="DC107" s="24">
        <f t="shared" si="135"/>
        <v>0</v>
      </c>
      <c r="DD107" s="24">
        <f t="shared" si="135"/>
        <v>810876</v>
      </c>
      <c r="DE107" s="24"/>
      <c r="DF107" s="24">
        <f t="shared" si="136"/>
        <v>0</v>
      </c>
      <c r="DG107" s="24">
        <f t="shared" si="136"/>
        <v>0</v>
      </c>
      <c r="DH107" s="24">
        <f t="shared" si="136"/>
        <v>0</v>
      </c>
      <c r="DJ107" s="77"/>
      <c r="DK107" s="77"/>
      <c r="DL107" s="196">
        <f t="shared" si="104"/>
        <v>20000000</v>
      </c>
      <c r="DM107" s="197">
        <f t="shared" si="105"/>
        <v>19189124</v>
      </c>
      <c r="DN107" s="198">
        <f t="shared" si="72"/>
        <v>0.95945619999999998</v>
      </c>
    </row>
    <row r="108" spans="1:118" ht="24.75" hidden="1" customHeight="1" x14ac:dyDescent="0.25">
      <c r="A108" s="248"/>
      <c r="B108" s="233"/>
      <c r="C108" s="69" t="s">
        <v>301</v>
      </c>
      <c r="D108" s="21" t="s">
        <v>302</v>
      </c>
      <c r="E108" s="89">
        <v>301</v>
      </c>
      <c r="F108" s="23" t="s">
        <v>267</v>
      </c>
      <c r="G108" s="24">
        <f t="shared" si="114"/>
        <v>100000000</v>
      </c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>
        <v>100000000</v>
      </c>
      <c r="W108" s="24"/>
      <c r="X108" s="24"/>
      <c r="Y108" s="24"/>
      <c r="Z108" s="24"/>
      <c r="AA108" s="25">
        <f t="shared" si="115"/>
        <v>1</v>
      </c>
      <c r="AB108" s="24">
        <f t="shared" si="116"/>
        <v>100000000</v>
      </c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>
        <f>+'[8]ABRIL 2016'!$Z$480</f>
        <v>100000000</v>
      </c>
      <c r="AS108" s="24"/>
      <c r="AT108" s="24"/>
      <c r="AU108" s="24"/>
      <c r="AV108" s="24"/>
      <c r="AW108" s="25">
        <f t="shared" si="117"/>
        <v>0</v>
      </c>
      <c r="AX108" s="24">
        <f t="shared" si="118"/>
        <v>0</v>
      </c>
      <c r="AY108" s="24">
        <f t="shared" si="119"/>
        <v>0</v>
      </c>
      <c r="AZ108" s="24">
        <f t="shared" si="119"/>
        <v>0</v>
      </c>
      <c r="BA108" s="24">
        <f t="shared" si="119"/>
        <v>0</v>
      </c>
      <c r="BB108" s="24">
        <f t="shared" si="132"/>
        <v>0</v>
      </c>
      <c r="BC108" s="24">
        <f t="shared" si="132"/>
        <v>0</v>
      </c>
      <c r="BD108" s="24">
        <f t="shared" si="132"/>
        <v>0</v>
      </c>
      <c r="BE108" s="24">
        <f t="shared" si="132"/>
        <v>0</v>
      </c>
      <c r="BF108" s="24">
        <f t="shared" si="132"/>
        <v>0</v>
      </c>
      <c r="BG108" s="24">
        <f t="shared" si="132"/>
        <v>0</v>
      </c>
      <c r="BH108" s="24">
        <f t="shared" si="132"/>
        <v>0</v>
      </c>
      <c r="BI108" s="24">
        <f t="shared" si="132"/>
        <v>0</v>
      </c>
      <c r="BJ108" s="24">
        <f t="shared" si="132"/>
        <v>0</v>
      </c>
      <c r="BK108" s="24">
        <f t="shared" si="132"/>
        <v>0</v>
      </c>
      <c r="BL108" s="24">
        <f t="shared" si="132"/>
        <v>0</v>
      </c>
      <c r="BM108" s="24">
        <f t="shared" si="132"/>
        <v>0</v>
      </c>
      <c r="BN108" s="24"/>
      <c r="BO108" s="24"/>
      <c r="BP108" s="24">
        <f t="shared" si="121"/>
        <v>0</v>
      </c>
      <c r="BQ108" s="24">
        <f t="shared" si="133"/>
        <v>0</v>
      </c>
      <c r="BR108" s="25">
        <f t="shared" si="123"/>
        <v>0.97925450999999997</v>
      </c>
      <c r="BS108" s="24">
        <f t="shared" si="124"/>
        <v>97925451</v>
      </c>
      <c r="BT108" s="24"/>
      <c r="BU108" s="24"/>
      <c r="BV108" s="24"/>
      <c r="BW108" s="24"/>
      <c r="BX108" s="24"/>
      <c r="BY108" s="24"/>
      <c r="BZ108" s="24"/>
      <c r="CA108" s="24"/>
      <c r="CB108" s="24"/>
      <c r="CC108" s="24"/>
      <c r="CD108" s="24"/>
      <c r="CE108" s="24"/>
      <c r="CF108" s="24"/>
      <c r="CG108" s="24"/>
      <c r="CH108" s="24"/>
      <c r="CI108" s="24">
        <f>+'[1]SEPTIEMBRE 2016'!$H$1073</f>
        <v>97925451</v>
      </c>
      <c r="CJ108" s="24"/>
      <c r="CK108" s="24"/>
      <c r="CL108" s="24"/>
      <c r="CM108" s="24"/>
      <c r="CN108" s="25">
        <f t="shared" si="125"/>
        <v>2.0745490000000033E-2</v>
      </c>
      <c r="CO108" s="24">
        <f t="shared" si="126"/>
        <v>2074549</v>
      </c>
      <c r="CP108" s="24">
        <f t="shared" si="127"/>
        <v>0</v>
      </c>
      <c r="CQ108" s="24">
        <f t="shared" si="127"/>
        <v>0</v>
      </c>
      <c r="CR108" s="24">
        <f t="shared" si="127"/>
        <v>0</v>
      </c>
      <c r="CS108" s="24">
        <f t="shared" si="127"/>
        <v>0</v>
      </c>
      <c r="CT108" s="24">
        <f t="shared" si="127"/>
        <v>0</v>
      </c>
      <c r="CU108" s="24">
        <f t="shared" si="127"/>
        <v>0</v>
      </c>
      <c r="CV108" s="24">
        <f t="shared" si="134"/>
        <v>0</v>
      </c>
      <c r="CW108" s="24">
        <f t="shared" si="134"/>
        <v>0</v>
      </c>
      <c r="CX108" s="24">
        <f t="shared" si="127"/>
        <v>0</v>
      </c>
      <c r="CY108" s="24">
        <f t="shared" si="129"/>
        <v>0</v>
      </c>
      <c r="CZ108" s="24">
        <f t="shared" si="129"/>
        <v>0</v>
      </c>
      <c r="DA108" s="24">
        <f t="shared" si="129"/>
        <v>0</v>
      </c>
      <c r="DB108" s="24">
        <f t="shared" si="135"/>
        <v>0</v>
      </c>
      <c r="DC108" s="24">
        <f t="shared" si="135"/>
        <v>0</v>
      </c>
      <c r="DD108" s="24">
        <f t="shared" si="135"/>
        <v>2074549</v>
      </c>
      <c r="DE108" s="24"/>
      <c r="DF108" s="24">
        <f t="shared" si="136"/>
        <v>0</v>
      </c>
      <c r="DG108" s="24">
        <f t="shared" si="136"/>
        <v>0</v>
      </c>
      <c r="DH108" s="24">
        <f t="shared" si="136"/>
        <v>0</v>
      </c>
      <c r="DJ108" s="77" t="s">
        <v>408</v>
      </c>
      <c r="DK108" s="77"/>
      <c r="DL108" s="196">
        <f t="shared" si="104"/>
        <v>100000000</v>
      </c>
      <c r="DM108" s="197">
        <f t="shared" si="105"/>
        <v>97925451</v>
      </c>
      <c r="DN108" s="198">
        <f t="shared" si="72"/>
        <v>0.97925450999999997</v>
      </c>
    </row>
    <row r="109" spans="1:118" ht="23.25" hidden="1" customHeight="1" x14ac:dyDescent="0.25">
      <c r="A109" s="248"/>
      <c r="B109" s="88" t="s">
        <v>303</v>
      </c>
      <c r="C109" s="69" t="s">
        <v>304</v>
      </c>
      <c r="D109" s="21" t="s">
        <v>305</v>
      </c>
      <c r="E109" s="89">
        <v>301</v>
      </c>
      <c r="F109" s="23" t="s">
        <v>267</v>
      </c>
      <c r="G109" s="24">
        <f t="shared" si="114"/>
        <v>50000000</v>
      </c>
      <c r="H109" s="24"/>
      <c r="I109" s="24">
        <f>50000000-50000000</f>
        <v>0</v>
      </c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>
        <f>21264791+28735209</f>
        <v>50000000</v>
      </c>
      <c r="V109" s="24"/>
      <c r="W109" s="24"/>
      <c r="X109" s="24"/>
      <c r="Y109" s="24"/>
      <c r="Z109" s="24"/>
      <c r="AA109" s="25">
        <f t="shared" si="115"/>
        <v>0.94517945999999997</v>
      </c>
      <c r="AB109" s="24">
        <f t="shared" si="116"/>
        <v>47258973</v>
      </c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>
        <f>+'[4]AGOSTO 2016'!$Y$941</f>
        <v>47258973</v>
      </c>
      <c r="AR109" s="24"/>
      <c r="AS109" s="24"/>
      <c r="AT109" s="24"/>
      <c r="AU109" s="24"/>
      <c r="AV109" s="24"/>
      <c r="AW109" s="25">
        <f t="shared" si="117"/>
        <v>5.4820540000000029E-2</v>
      </c>
      <c r="AX109" s="24">
        <f t="shared" si="118"/>
        <v>2741027</v>
      </c>
      <c r="AY109" s="24">
        <f t="shared" si="119"/>
        <v>0</v>
      </c>
      <c r="AZ109" s="24">
        <f t="shared" si="119"/>
        <v>0</v>
      </c>
      <c r="BA109" s="24">
        <f t="shared" si="119"/>
        <v>0</v>
      </c>
      <c r="BB109" s="24">
        <f t="shared" si="132"/>
        <v>0</v>
      </c>
      <c r="BC109" s="24">
        <f t="shared" si="132"/>
        <v>0</v>
      </c>
      <c r="BD109" s="24">
        <f t="shared" si="132"/>
        <v>0</v>
      </c>
      <c r="BE109" s="24">
        <f t="shared" si="132"/>
        <v>0</v>
      </c>
      <c r="BF109" s="24">
        <f t="shared" si="132"/>
        <v>0</v>
      </c>
      <c r="BG109" s="24">
        <f t="shared" si="132"/>
        <v>0</v>
      </c>
      <c r="BH109" s="24">
        <f t="shared" si="132"/>
        <v>0</v>
      </c>
      <c r="BI109" s="24">
        <f t="shared" si="132"/>
        <v>0</v>
      </c>
      <c r="BJ109" s="24">
        <f t="shared" si="132"/>
        <v>0</v>
      </c>
      <c r="BK109" s="24">
        <f t="shared" si="132"/>
        <v>0</v>
      </c>
      <c r="BL109" s="24">
        <f t="shared" si="132"/>
        <v>2741027</v>
      </c>
      <c r="BM109" s="24">
        <f t="shared" si="132"/>
        <v>0</v>
      </c>
      <c r="BN109" s="24"/>
      <c r="BO109" s="24"/>
      <c r="BP109" s="24">
        <f t="shared" si="121"/>
        <v>0</v>
      </c>
      <c r="BQ109" s="24">
        <f t="shared" si="133"/>
        <v>0</v>
      </c>
      <c r="BR109" s="25">
        <f t="shared" si="123"/>
        <v>0.94517945999999997</v>
      </c>
      <c r="BS109" s="24">
        <f t="shared" si="124"/>
        <v>47258973</v>
      </c>
      <c r="BT109" s="24"/>
      <c r="BU109" s="24"/>
      <c r="BV109" s="24"/>
      <c r="BW109" s="24"/>
      <c r="BX109" s="24"/>
      <c r="BY109" s="24"/>
      <c r="BZ109" s="24"/>
      <c r="CA109" s="24"/>
      <c r="CB109" s="24"/>
      <c r="CC109" s="24"/>
      <c r="CD109" s="24"/>
      <c r="CE109" s="24"/>
      <c r="CF109" s="24"/>
      <c r="CG109" s="24"/>
      <c r="CH109" s="24">
        <f>+'[4]AGOSTO 2016'!$H$939</f>
        <v>47258973</v>
      </c>
      <c r="CI109" s="24"/>
      <c r="CJ109" s="24"/>
      <c r="CK109" s="24"/>
      <c r="CL109" s="24"/>
      <c r="CM109" s="24"/>
      <c r="CN109" s="25">
        <f t="shared" si="125"/>
        <v>5.4820540000000029E-2</v>
      </c>
      <c r="CO109" s="24">
        <f t="shared" si="126"/>
        <v>2741027</v>
      </c>
      <c r="CP109" s="24">
        <f t="shared" si="127"/>
        <v>0</v>
      </c>
      <c r="CQ109" s="24">
        <f t="shared" si="127"/>
        <v>0</v>
      </c>
      <c r="CR109" s="24">
        <f t="shared" si="127"/>
        <v>0</v>
      </c>
      <c r="CS109" s="24">
        <f t="shared" si="127"/>
        <v>0</v>
      </c>
      <c r="CT109" s="24">
        <f t="shared" si="127"/>
        <v>0</v>
      </c>
      <c r="CU109" s="24">
        <f t="shared" si="127"/>
        <v>0</v>
      </c>
      <c r="CV109" s="24">
        <f t="shared" si="134"/>
        <v>0</v>
      </c>
      <c r="CW109" s="24">
        <f t="shared" si="134"/>
        <v>0</v>
      </c>
      <c r="CX109" s="24">
        <f t="shared" si="127"/>
        <v>0</v>
      </c>
      <c r="CY109" s="24">
        <f t="shared" si="129"/>
        <v>0</v>
      </c>
      <c r="CZ109" s="24">
        <f t="shared" si="129"/>
        <v>0</v>
      </c>
      <c r="DA109" s="24">
        <f t="shared" si="129"/>
        <v>0</v>
      </c>
      <c r="DB109" s="24">
        <f t="shared" si="135"/>
        <v>0</v>
      </c>
      <c r="DC109" s="24">
        <f t="shared" si="135"/>
        <v>2741027</v>
      </c>
      <c r="DD109" s="24">
        <f t="shared" si="135"/>
        <v>0</v>
      </c>
      <c r="DE109" s="24"/>
      <c r="DF109" s="24">
        <f t="shared" si="136"/>
        <v>0</v>
      </c>
      <c r="DG109" s="24">
        <f t="shared" si="136"/>
        <v>0</v>
      </c>
      <c r="DH109" s="24">
        <f t="shared" si="136"/>
        <v>0</v>
      </c>
      <c r="DJ109" s="77"/>
      <c r="DK109" s="77"/>
      <c r="DL109" s="196">
        <f t="shared" si="104"/>
        <v>50000000</v>
      </c>
      <c r="DM109" s="197">
        <f t="shared" si="105"/>
        <v>47258973</v>
      </c>
      <c r="DN109" s="198">
        <f t="shared" si="72"/>
        <v>0.94517945999999997</v>
      </c>
    </row>
    <row r="110" spans="1:118" ht="23.25" hidden="1" customHeight="1" x14ac:dyDescent="0.25">
      <c r="A110" s="90"/>
      <c r="B110" s="91"/>
      <c r="C110" s="69" t="s">
        <v>306</v>
      </c>
      <c r="D110" s="92" t="s">
        <v>307</v>
      </c>
      <c r="E110" s="22">
        <v>301</v>
      </c>
      <c r="F110" s="93" t="s">
        <v>308</v>
      </c>
      <c r="G110" s="24">
        <f t="shared" si="114"/>
        <v>30000000</v>
      </c>
      <c r="H110" s="72"/>
      <c r="I110" s="72">
        <v>30000000</v>
      </c>
      <c r="J110" s="72"/>
      <c r="K110" s="72"/>
      <c r="L110" s="72"/>
      <c r="M110" s="72"/>
      <c r="N110" s="72"/>
      <c r="O110" s="72"/>
      <c r="P110" s="72"/>
      <c r="Q110" s="72"/>
      <c r="R110" s="72"/>
      <c r="S110" s="72"/>
      <c r="T110" s="72"/>
      <c r="U110" s="72"/>
      <c r="V110" s="72"/>
      <c r="W110" s="72"/>
      <c r="X110" s="72"/>
      <c r="Y110" s="72"/>
      <c r="Z110" s="72"/>
      <c r="AA110" s="25">
        <f t="shared" si="115"/>
        <v>0</v>
      </c>
      <c r="AB110" s="24">
        <f t="shared" si="116"/>
        <v>0</v>
      </c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25">
        <f t="shared" si="117"/>
        <v>1</v>
      </c>
      <c r="AX110" s="24">
        <f t="shared" si="118"/>
        <v>30000000</v>
      </c>
      <c r="AY110" s="72"/>
      <c r="AZ110" s="24">
        <f>I110-AE110</f>
        <v>30000000</v>
      </c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25">
        <f t="shared" si="123"/>
        <v>0</v>
      </c>
      <c r="BS110" s="24">
        <f t="shared" si="124"/>
        <v>0</v>
      </c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25">
        <f t="shared" si="125"/>
        <v>1</v>
      </c>
      <c r="CO110" s="24">
        <f t="shared" si="126"/>
        <v>30000000</v>
      </c>
      <c r="CP110" s="72"/>
      <c r="CQ110" s="24">
        <f>I110-BV110</f>
        <v>30000000</v>
      </c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24"/>
      <c r="DJ110" s="77"/>
      <c r="DK110" s="77"/>
      <c r="DL110" s="196">
        <f t="shared" si="104"/>
        <v>30000000</v>
      </c>
      <c r="DM110" s="197">
        <f t="shared" si="105"/>
        <v>0</v>
      </c>
      <c r="DN110" s="198">
        <f t="shared" si="72"/>
        <v>0</v>
      </c>
    </row>
    <row r="111" spans="1:118" ht="19.5" hidden="1" customHeight="1" x14ac:dyDescent="0.25">
      <c r="A111" s="90"/>
      <c r="B111" s="91"/>
      <c r="C111" s="69" t="s">
        <v>309</v>
      </c>
      <c r="D111" s="92" t="s">
        <v>310</v>
      </c>
      <c r="E111" s="22">
        <v>301</v>
      </c>
      <c r="F111" s="93" t="s">
        <v>308</v>
      </c>
      <c r="G111" s="24">
        <f t="shared" si="114"/>
        <v>80000000</v>
      </c>
      <c r="H111" s="72"/>
      <c r="I111" s="72">
        <v>80000000</v>
      </c>
      <c r="J111" s="72"/>
      <c r="K111" s="72"/>
      <c r="L111" s="72"/>
      <c r="M111" s="72"/>
      <c r="N111" s="72"/>
      <c r="O111" s="72"/>
      <c r="P111" s="72"/>
      <c r="Q111" s="72"/>
      <c r="R111" s="72"/>
      <c r="S111" s="72"/>
      <c r="T111" s="72"/>
      <c r="U111" s="72"/>
      <c r="V111" s="72"/>
      <c r="W111" s="72"/>
      <c r="X111" s="72"/>
      <c r="Y111" s="72"/>
      <c r="Z111" s="72"/>
      <c r="AA111" s="25">
        <f t="shared" si="115"/>
        <v>0</v>
      </c>
      <c r="AB111" s="24">
        <f t="shared" si="116"/>
        <v>0</v>
      </c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25">
        <f t="shared" si="117"/>
        <v>1</v>
      </c>
      <c r="AX111" s="24">
        <f t="shared" si="118"/>
        <v>80000000</v>
      </c>
      <c r="AY111" s="72"/>
      <c r="AZ111" s="24">
        <f>I111-AE111</f>
        <v>80000000</v>
      </c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25">
        <f t="shared" si="123"/>
        <v>0</v>
      </c>
      <c r="BS111" s="24">
        <f t="shared" si="124"/>
        <v>0</v>
      </c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25">
        <f t="shared" si="125"/>
        <v>1</v>
      </c>
      <c r="CO111" s="24">
        <f t="shared" si="126"/>
        <v>80000000</v>
      </c>
      <c r="CP111" s="72"/>
      <c r="CQ111" s="24">
        <f>I111-BV111</f>
        <v>80000000</v>
      </c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24"/>
      <c r="DJ111" s="77"/>
      <c r="DK111" s="77"/>
      <c r="DL111" s="196">
        <f t="shared" si="104"/>
        <v>80000000</v>
      </c>
      <c r="DM111" s="197">
        <f t="shared" si="105"/>
        <v>0</v>
      </c>
      <c r="DN111" s="198">
        <f t="shared" si="72"/>
        <v>0</v>
      </c>
    </row>
    <row r="112" spans="1:118" ht="30" hidden="1" x14ac:dyDescent="0.25">
      <c r="A112" s="90"/>
      <c r="B112" s="91"/>
      <c r="C112" s="69" t="s">
        <v>311</v>
      </c>
      <c r="D112" s="92" t="s">
        <v>312</v>
      </c>
      <c r="E112" s="22">
        <v>301</v>
      </c>
      <c r="F112" s="93" t="s">
        <v>308</v>
      </c>
      <c r="G112" s="24">
        <f t="shared" si="114"/>
        <v>75000000</v>
      </c>
      <c r="H112" s="72"/>
      <c r="I112" s="72">
        <v>75000000</v>
      </c>
      <c r="J112" s="72"/>
      <c r="K112" s="72"/>
      <c r="L112" s="72"/>
      <c r="M112" s="72"/>
      <c r="N112" s="72"/>
      <c r="O112" s="72"/>
      <c r="P112" s="72"/>
      <c r="Q112" s="72"/>
      <c r="R112" s="72"/>
      <c r="S112" s="72"/>
      <c r="T112" s="72"/>
      <c r="U112" s="72"/>
      <c r="V112" s="72"/>
      <c r="W112" s="72"/>
      <c r="X112" s="72"/>
      <c r="Y112" s="72"/>
      <c r="Z112" s="72"/>
      <c r="AA112" s="25">
        <f t="shared" si="115"/>
        <v>4.8000000000000001E-2</v>
      </c>
      <c r="AB112" s="24">
        <f t="shared" si="116"/>
        <v>3600000</v>
      </c>
      <c r="AC112" s="72"/>
      <c r="AD112" s="72"/>
      <c r="AE112" s="72">
        <f>+'[1]SEPTIEMBRE 2016'!$M$1152</f>
        <v>3600000</v>
      </c>
      <c r="AF112" s="72"/>
      <c r="AG112" s="72"/>
      <c r="AH112" s="72"/>
      <c r="AI112" s="72"/>
      <c r="AJ112" s="72"/>
      <c r="AK112" s="72"/>
      <c r="AL112" s="72"/>
      <c r="AM112" s="72"/>
      <c r="AN112" s="72"/>
      <c r="AO112" s="72"/>
      <c r="AP112" s="72"/>
      <c r="AQ112" s="72"/>
      <c r="AR112" s="72"/>
      <c r="AS112" s="72"/>
      <c r="AT112" s="72"/>
      <c r="AU112" s="72"/>
      <c r="AV112" s="72"/>
      <c r="AW112" s="25">
        <f t="shared" si="117"/>
        <v>0.95199999999999996</v>
      </c>
      <c r="AX112" s="24">
        <f t="shared" si="118"/>
        <v>71400000</v>
      </c>
      <c r="AY112" s="72"/>
      <c r="AZ112" s="24">
        <f>I112-AE112</f>
        <v>71400000</v>
      </c>
      <c r="BA112" s="72"/>
      <c r="BB112" s="72"/>
      <c r="BC112" s="72"/>
      <c r="BD112" s="72"/>
      <c r="BE112" s="72"/>
      <c r="BF112" s="72"/>
      <c r="BG112" s="72"/>
      <c r="BH112" s="72"/>
      <c r="BI112" s="72"/>
      <c r="BJ112" s="72"/>
      <c r="BK112" s="72"/>
      <c r="BL112" s="72"/>
      <c r="BM112" s="72"/>
      <c r="BN112" s="72"/>
      <c r="BO112" s="72"/>
      <c r="BP112" s="72"/>
      <c r="BQ112" s="72"/>
      <c r="BR112" s="25">
        <f t="shared" si="123"/>
        <v>0</v>
      </c>
      <c r="BS112" s="24">
        <f t="shared" si="124"/>
        <v>0</v>
      </c>
      <c r="BT112" s="72"/>
      <c r="BU112" s="72"/>
      <c r="BV112" s="72"/>
      <c r="BW112" s="72"/>
      <c r="BX112" s="72"/>
      <c r="BY112" s="72"/>
      <c r="BZ112" s="72"/>
      <c r="CA112" s="72"/>
      <c r="CB112" s="72"/>
      <c r="CC112" s="72"/>
      <c r="CD112" s="72"/>
      <c r="CE112" s="72"/>
      <c r="CF112" s="72"/>
      <c r="CG112" s="72"/>
      <c r="CH112" s="72"/>
      <c r="CI112" s="72"/>
      <c r="CJ112" s="72"/>
      <c r="CK112" s="72"/>
      <c r="CL112" s="72"/>
      <c r="CM112" s="72"/>
      <c r="CN112" s="25">
        <f t="shared" si="125"/>
        <v>1</v>
      </c>
      <c r="CO112" s="24">
        <f t="shared" si="126"/>
        <v>75000000</v>
      </c>
      <c r="CP112" s="72"/>
      <c r="CQ112" s="24">
        <f>I112-BV112</f>
        <v>75000000</v>
      </c>
      <c r="CR112" s="72"/>
      <c r="CS112" s="72"/>
      <c r="CT112" s="72"/>
      <c r="CU112" s="72"/>
      <c r="CV112" s="72"/>
      <c r="CW112" s="72"/>
      <c r="CX112" s="72"/>
      <c r="CY112" s="72"/>
      <c r="CZ112" s="72"/>
      <c r="DA112" s="72"/>
      <c r="DB112" s="72"/>
      <c r="DC112" s="72"/>
      <c r="DD112" s="72"/>
      <c r="DE112" s="72"/>
      <c r="DF112" s="72"/>
      <c r="DG112" s="72"/>
      <c r="DH112" s="24"/>
      <c r="DJ112" s="77"/>
      <c r="DK112" s="77"/>
      <c r="DL112" s="196">
        <f t="shared" si="104"/>
        <v>75000000</v>
      </c>
      <c r="DM112" s="197">
        <f t="shared" si="105"/>
        <v>0</v>
      </c>
      <c r="DN112" s="198">
        <f t="shared" si="72"/>
        <v>0</v>
      </c>
    </row>
    <row r="113" spans="1:118" s="43" customFormat="1" ht="21" customHeight="1" thickTop="1" thickBot="1" x14ac:dyDescent="0.3">
      <c r="A113" s="73"/>
      <c r="B113" s="288" t="s">
        <v>391</v>
      </c>
      <c r="C113" s="289"/>
      <c r="D113" s="289"/>
      <c r="E113" s="289"/>
      <c r="F113" s="293"/>
      <c r="G113" s="61">
        <f>SUM(G95:G112)</f>
        <v>2949123548</v>
      </c>
      <c r="H113" s="61">
        <f t="shared" ref="H113:Z113" si="137">SUM(H95:H112)</f>
        <v>200000000</v>
      </c>
      <c r="I113" s="61">
        <f t="shared" si="137"/>
        <v>453168096</v>
      </c>
      <c r="J113" s="61">
        <f t="shared" si="137"/>
        <v>0</v>
      </c>
      <c r="K113" s="61">
        <f t="shared" si="137"/>
        <v>701280247</v>
      </c>
      <c r="L113" s="61">
        <f t="shared" si="137"/>
        <v>0</v>
      </c>
      <c r="M113" s="61">
        <f t="shared" si="137"/>
        <v>0</v>
      </c>
      <c r="N113" s="61">
        <f t="shared" si="137"/>
        <v>0</v>
      </c>
      <c r="O113" s="61">
        <f t="shared" si="137"/>
        <v>0</v>
      </c>
      <c r="P113" s="61">
        <f t="shared" si="137"/>
        <v>0</v>
      </c>
      <c r="Q113" s="61">
        <f t="shared" si="137"/>
        <v>0</v>
      </c>
      <c r="R113" s="61">
        <f t="shared" si="137"/>
        <v>0</v>
      </c>
      <c r="S113" s="61">
        <f t="shared" si="137"/>
        <v>0</v>
      </c>
      <c r="T113" s="61">
        <f t="shared" si="137"/>
        <v>0</v>
      </c>
      <c r="U113" s="61">
        <f t="shared" si="137"/>
        <v>245242997</v>
      </c>
      <c r="V113" s="61">
        <f t="shared" si="137"/>
        <v>1262551657</v>
      </c>
      <c r="W113" s="61">
        <f t="shared" si="137"/>
        <v>0</v>
      </c>
      <c r="X113" s="61">
        <f t="shared" si="137"/>
        <v>0</v>
      </c>
      <c r="Y113" s="61">
        <f t="shared" si="137"/>
        <v>0</v>
      </c>
      <c r="Z113" s="61">
        <f t="shared" si="137"/>
        <v>86880551</v>
      </c>
      <c r="AA113" s="39">
        <f t="shared" si="115"/>
        <v>0.85205638017576879</v>
      </c>
      <c r="AB113" s="61">
        <f>SUM(AB95:AB112)</f>
        <v>2512819535</v>
      </c>
      <c r="AC113" s="61"/>
      <c r="AD113" s="61">
        <f t="shared" ref="AD113:AV113" si="138">SUM(AD95:AD112)</f>
        <v>198408143</v>
      </c>
      <c r="AE113" s="61">
        <f t="shared" si="138"/>
        <v>271768096</v>
      </c>
      <c r="AF113" s="61">
        <f t="shared" si="138"/>
        <v>0</v>
      </c>
      <c r="AG113" s="61">
        <f t="shared" si="138"/>
        <v>701280247</v>
      </c>
      <c r="AH113" s="61">
        <f t="shared" si="138"/>
        <v>0</v>
      </c>
      <c r="AI113" s="61">
        <f t="shared" si="138"/>
        <v>0</v>
      </c>
      <c r="AJ113" s="61">
        <f t="shared" si="138"/>
        <v>0</v>
      </c>
      <c r="AK113" s="61">
        <f t="shared" si="138"/>
        <v>0</v>
      </c>
      <c r="AL113" s="61">
        <f t="shared" si="138"/>
        <v>0</v>
      </c>
      <c r="AM113" s="61">
        <f t="shared" si="138"/>
        <v>0</v>
      </c>
      <c r="AN113" s="61">
        <f t="shared" si="138"/>
        <v>0</v>
      </c>
      <c r="AO113" s="61">
        <f t="shared" si="138"/>
        <v>0</v>
      </c>
      <c r="AP113" s="61">
        <f t="shared" si="138"/>
        <v>0</v>
      </c>
      <c r="AQ113" s="61">
        <f t="shared" si="138"/>
        <v>150327287</v>
      </c>
      <c r="AR113" s="61">
        <f t="shared" si="138"/>
        <v>1158469451</v>
      </c>
      <c r="AS113" s="61">
        <f t="shared" si="138"/>
        <v>0</v>
      </c>
      <c r="AT113" s="61">
        <f t="shared" si="138"/>
        <v>0</v>
      </c>
      <c r="AU113" s="61">
        <f t="shared" si="138"/>
        <v>0</v>
      </c>
      <c r="AV113" s="61">
        <f t="shared" si="138"/>
        <v>32566311</v>
      </c>
      <c r="AW113" s="39">
        <f t="shared" si="117"/>
        <v>0.14794361982423121</v>
      </c>
      <c r="AX113" s="61">
        <f>SUM(AX95:AX112)</f>
        <v>436304013</v>
      </c>
      <c r="AY113" s="61">
        <f t="shared" ref="AY113:BQ113" si="139">SUM(AY95:AY112)</f>
        <v>1591857</v>
      </c>
      <c r="AZ113" s="61">
        <f t="shared" si="139"/>
        <v>181400000</v>
      </c>
      <c r="BA113" s="61">
        <f t="shared" si="139"/>
        <v>0</v>
      </c>
      <c r="BB113" s="61">
        <f t="shared" si="139"/>
        <v>0</v>
      </c>
      <c r="BC113" s="61">
        <f t="shared" si="139"/>
        <v>0</v>
      </c>
      <c r="BD113" s="61">
        <f t="shared" si="139"/>
        <v>0</v>
      </c>
      <c r="BE113" s="61">
        <f t="shared" si="139"/>
        <v>0</v>
      </c>
      <c r="BF113" s="61">
        <f t="shared" si="139"/>
        <v>0</v>
      </c>
      <c r="BG113" s="61">
        <f t="shared" si="139"/>
        <v>0</v>
      </c>
      <c r="BH113" s="61">
        <f t="shared" si="139"/>
        <v>0</v>
      </c>
      <c r="BI113" s="61">
        <f t="shared" si="139"/>
        <v>0</v>
      </c>
      <c r="BJ113" s="61">
        <f t="shared" si="139"/>
        <v>0</v>
      </c>
      <c r="BK113" s="61">
        <f t="shared" si="139"/>
        <v>0</v>
      </c>
      <c r="BL113" s="61">
        <f t="shared" si="139"/>
        <v>94915710</v>
      </c>
      <c r="BM113" s="61">
        <f t="shared" si="139"/>
        <v>104082206</v>
      </c>
      <c r="BN113" s="61">
        <f t="shared" si="139"/>
        <v>0</v>
      </c>
      <c r="BO113" s="61">
        <f t="shared" si="139"/>
        <v>0</v>
      </c>
      <c r="BP113" s="61">
        <f t="shared" si="139"/>
        <v>0</v>
      </c>
      <c r="BQ113" s="61">
        <f t="shared" si="139"/>
        <v>54314240</v>
      </c>
      <c r="BR113" s="39">
        <f t="shared" si="123"/>
        <v>0.79096945924220063</v>
      </c>
      <c r="BS113" s="61">
        <f>SUM(BS95:BS112)</f>
        <v>2332666658</v>
      </c>
      <c r="BT113" s="61">
        <f>SUM(BT95:BT109)</f>
        <v>0</v>
      </c>
      <c r="BU113" s="61">
        <f t="shared" ref="BU113:CM113" si="140">SUM(BU95:BU112)</f>
        <v>198408143</v>
      </c>
      <c r="BV113" s="61">
        <f t="shared" si="140"/>
        <v>268168096</v>
      </c>
      <c r="BW113" s="61">
        <f t="shared" si="140"/>
        <v>0</v>
      </c>
      <c r="BX113" s="61">
        <f t="shared" si="140"/>
        <v>701280247</v>
      </c>
      <c r="BY113" s="61">
        <f t="shared" si="140"/>
        <v>0</v>
      </c>
      <c r="BZ113" s="61">
        <f t="shared" si="140"/>
        <v>0</v>
      </c>
      <c r="CA113" s="61">
        <f t="shared" si="140"/>
        <v>0</v>
      </c>
      <c r="CB113" s="61">
        <f t="shared" si="140"/>
        <v>0</v>
      </c>
      <c r="CC113" s="61">
        <f t="shared" si="140"/>
        <v>0</v>
      </c>
      <c r="CD113" s="61">
        <f t="shared" si="140"/>
        <v>0</v>
      </c>
      <c r="CE113" s="61">
        <f t="shared" si="140"/>
        <v>0</v>
      </c>
      <c r="CF113" s="61">
        <f t="shared" si="140"/>
        <v>0</v>
      </c>
      <c r="CG113" s="61">
        <f t="shared" si="140"/>
        <v>0</v>
      </c>
      <c r="CH113" s="61">
        <f t="shared" si="140"/>
        <v>89000967</v>
      </c>
      <c r="CI113" s="61">
        <f t="shared" si="140"/>
        <v>1044337414</v>
      </c>
      <c r="CJ113" s="61">
        <f t="shared" si="140"/>
        <v>0</v>
      </c>
      <c r="CK113" s="61">
        <f t="shared" si="140"/>
        <v>0</v>
      </c>
      <c r="CL113" s="61">
        <f t="shared" si="140"/>
        <v>0</v>
      </c>
      <c r="CM113" s="61">
        <f t="shared" si="140"/>
        <v>31471791</v>
      </c>
      <c r="CN113" s="39">
        <f t="shared" si="125"/>
        <v>0.20903054075779937</v>
      </c>
      <c r="CO113" s="61">
        <f>SUM(CO95:CO112)</f>
        <v>616456890</v>
      </c>
      <c r="CP113" s="61">
        <f t="shared" ref="CP113:DH113" si="141">SUM(CP95:CP112)</f>
        <v>1591857</v>
      </c>
      <c r="CQ113" s="61">
        <f t="shared" si="141"/>
        <v>185000000</v>
      </c>
      <c r="CR113" s="61">
        <f t="shared" si="141"/>
        <v>0</v>
      </c>
      <c r="CS113" s="61">
        <f t="shared" si="141"/>
        <v>0</v>
      </c>
      <c r="CT113" s="61">
        <f t="shared" si="141"/>
        <v>0</v>
      </c>
      <c r="CU113" s="61">
        <f t="shared" si="141"/>
        <v>0</v>
      </c>
      <c r="CV113" s="61">
        <f t="shared" si="141"/>
        <v>0</v>
      </c>
      <c r="CW113" s="61">
        <f t="shared" si="141"/>
        <v>0</v>
      </c>
      <c r="CX113" s="61">
        <f t="shared" si="141"/>
        <v>0</v>
      </c>
      <c r="CY113" s="61">
        <f t="shared" si="141"/>
        <v>0</v>
      </c>
      <c r="CZ113" s="61">
        <f t="shared" si="141"/>
        <v>0</v>
      </c>
      <c r="DA113" s="61">
        <f t="shared" si="141"/>
        <v>0</v>
      </c>
      <c r="DB113" s="61">
        <f t="shared" si="141"/>
        <v>0</v>
      </c>
      <c r="DC113" s="61">
        <f t="shared" si="141"/>
        <v>156242030</v>
      </c>
      <c r="DD113" s="61">
        <f t="shared" si="141"/>
        <v>218214243</v>
      </c>
      <c r="DE113" s="61">
        <f t="shared" si="141"/>
        <v>0</v>
      </c>
      <c r="DF113" s="61">
        <f t="shared" si="141"/>
        <v>0</v>
      </c>
      <c r="DG113" s="61">
        <f t="shared" si="141"/>
        <v>0</v>
      </c>
      <c r="DH113" s="61">
        <f t="shared" si="141"/>
        <v>55408760</v>
      </c>
      <c r="DJ113" s="77" t="s">
        <v>408</v>
      </c>
      <c r="DK113" s="77"/>
      <c r="DL113" s="196">
        <f t="shared" si="104"/>
        <v>2949123548</v>
      </c>
      <c r="DM113" s="197">
        <f t="shared" si="105"/>
        <v>2332666658</v>
      </c>
      <c r="DN113" s="198">
        <f t="shared" si="72"/>
        <v>0.79096945924220063</v>
      </c>
    </row>
    <row r="114" spans="1:118" ht="51" hidden="1" customHeight="1" thickTop="1" x14ac:dyDescent="0.25">
      <c r="A114" s="241" t="s">
        <v>314</v>
      </c>
      <c r="B114" s="237" t="s">
        <v>315</v>
      </c>
      <c r="C114" s="69" t="s">
        <v>316</v>
      </c>
      <c r="D114" s="21" t="s">
        <v>317</v>
      </c>
      <c r="E114" s="94">
        <v>111</v>
      </c>
      <c r="F114" s="23" t="s">
        <v>318</v>
      </c>
      <c r="G114" s="24">
        <f t="shared" ref="G114:G132" si="142">SUM(H114:Z114)</f>
        <v>3613217579</v>
      </c>
      <c r="H114" s="24"/>
      <c r="I114" s="24">
        <f>2264025000+1062351800-228708462</f>
        <v>3097668338</v>
      </c>
      <c r="J114" s="24">
        <f>72450095-52147109</f>
        <v>20302986</v>
      </c>
      <c r="K114" s="24"/>
      <c r="L114" s="24"/>
      <c r="M114" s="24">
        <f>54387</f>
        <v>54387</v>
      </c>
      <c r="N114" s="24">
        <f>30665828</f>
        <v>30665828</v>
      </c>
      <c r="O114" s="24">
        <f>1940856</f>
        <v>1940856</v>
      </c>
      <c r="P114" s="24"/>
      <c r="Q114" s="54">
        <f>60000000+100000000</f>
        <v>160000000</v>
      </c>
      <c r="R114" s="24"/>
      <c r="S114" s="24"/>
      <c r="T114" s="24"/>
      <c r="U114" s="24"/>
      <c r="V114" s="24"/>
      <c r="W114" s="24"/>
      <c r="X114" s="24"/>
      <c r="Y114" s="24"/>
      <c r="Z114" s="24">
        <f>28000000+784585184-485000000-9000000-16000000</f>
        <v>302585184</v>
      </c>
      <c r="AA114" s="25">
        <f t="shared" si="115"/>
        <v>0.36752330518870202</v>
      </c>
      <c r="AB114" s="24">
        <f t="shared" ref="AB114:AB132" si="143">SUM(AC114:AV114)</f>
        <v>1327941667</v>
      </c>
      <c r="AC114" s="24"/>
      <c r="AD114" s="24"/>
      <c r="AE114" s="24">
        <f>+'[1]SEPTIEMBRE 2016'!$M$18</f>
        <v>1326262451</v>
      </c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>
        <f>+'[4]AGOSTO 2016'!$AG$18</f>
        <v>1679216</v>
      </c>
      <c r="AW114" s="25">
        <f t="shared" si="117"/>
        <v>0.63247669481129798</v>
      </c>
      <c r="AX114" s="24">
        <f t="shared" ref="AX114:AX132" si="144">SUM(AY114:BQ114)</f>
        <v>2285275912</v>
      </c>
      <c r="AY114" s="24">
        <f t="shared" ref="AY114:BM125" si="145">H114-AD114</f>
        <v>0</v>
      </c>
      <c r="AZ114" s="24">
        <f t="shared" si="145"/>
        <v>1771405887</v>
      </c>
      <c r="BA114" s="24">
        <f t="shared" si="145"/>
        <v>20302986</v>
      </c>
      <c r="BB114" s="24">
        <f t="shared" ref="BB114:BM124" si="146">+K114-AG114</f>
        <v>0</v>
      </c>
      <c r="BC114" s="24">
        <f t="shared" si="146"/>
        <v>0</v>
      </c>
      <c r="BD114" s="24">
        <f t="shared" si="146"/>
        <v>54387</v>
      </c>
      <c r="BE114" s="24">
        <f t="shared" si="146"/>
        <v>30665828</v>
      </c>
      <c r="BF114" s="24">
        <f t="shared" si="146"/>
        <v>1940856</v>
      </c>
      <c r="BG114" s="24">
        <f t="shared" si="146"/>
        <v>0</v>
      </c>
      <c r="BH114" s="24">
        <f t="shared" si="146"/>
        <v>160000000</v>
      </c>
      <c r="BI114" s="24">
        <f t="shared" si="146"/>
        <v>0</v>
      </c>
      <c r="BJ114" s="24">
        <f t="shared" si="146"/>
        <v>0</v>
      </c>
      <c r="BK114" s="24">
        <f t="shared" si="146"/>
        <v>0</v>
      </c>
      <c r="BL114" s="24">
        <f t="shared" si="146"/>
        <v>0</v>
      </c>
      <c r="BM114" s="24">
        <f t="shared" si="146"/>
        <v>0</v>
      </c>
      <c r="BN114" s="24"/>
      <c r="BO114" s="24"/>
      <c r="BP114" s="24">
        <f t="shared" ref="BP114:BP125" si="147">Y114-AU114</f>
        <v>0</v>
      </c>
      <c r="BQ114" s="24">
        <f t="shared" ref="BQ114:BQ124" si="148">+Z114-AV114</f>
        <v>300905968</v>
      </c>
      <c r="BR114" s="25">
        <f t="shared" si="123"/>
        <v>0.36752330518870202</v>
      </c>
      <c r="BS114" s="24">
        <f t="shared" ref="BS114:BS132" si="149">SUM(BT114:CM114)</f>
        <v>1327941667</v>
      </c>
      <c r="BT114" s="24"/>
      <c r="BU114" s="24"/>
      <c r="BV114" s="24">
        <f>+'[1]SEPTIEMBRE 2016'!$M$18</f>
        <v>1326262451</v>
      </c>
      <c r="BW114" s="24"/>
      <c r="BX114" s="24"/>
      <c r="BY114" s="24"/>
      <c r="BZ114" s="24"/>
      <c r="CA114" s="24"/>
      <c r="CB114" s="24"/>
      <c r="CC114" s="24"/>
      <c r="CD114" s="24"/>
      <c r="CE114" s="24"/>
      <c r="CF114" s="24"/>
      <c r="CG114" s="24"/>
      <c r="CH114" s="24"/>
      <c r="CI114" s="24"/>
      <c r="CJ114" s="24"/>
      <c r="CK114" s="24"/>
      <c r="CL114" s="24"/>
      <c r="CM114" s="24">
        <f>+'[4]AGOSTO 2016'!$H$29</f>
        <v>1679216</v>
      </c>
      <c r="CN114" s="25">
        <f t="shared" si="125"/>
        <v>0.63247669481129798</v>
      </c>
      <c r="CO114" s="24">
        <f t="shared" ref="CO114:CO132" si="150">SUM(CP114:DH114)</f>
        <v>2285275912</v>
      </c>
      <c r="CP114" s="24">
        <f t="shared" ref="CP114:CU125" si="151">H114-BU114</f>
        <v>0</v>
      </c>
      <c r="CQ114" s="24">
        <f t="shared" si="151"/>
        <v>1771405887</v>
      </c>
      <c r="CR114" s="24">
        <f t="shared" si="151"/>
        <v>20302986</v>
      </c>
      <c r="CS114" s="24">
        <f t="shared" si="151"/>
        <v>0</v>
      </c>
      <c r="CT114" s="24">
        <f t="shared" si="151"/>
        <v>0</v>
      </c>
      <c r="CU114" s="24">
        <f t="shared" si="151"/>
        <v>54387</v>
      </c>
      <c r="CV114" s="24">
        <f t="shared" ref="CV114:CX124" si="152">+N114-CA114</f>
        <v>30665828</v>
      </c>
      <c r="CW114" s="24">
        <f t="shared" si="152"/>
        <v>1940856</v>
      </c>
      <c r="CX114" s="24">
        <f t="shared" si="152"/>
        <v>0</v>
      </c>
      <c r="CY114" s="24">
        <f t="shared" ref="CY114:DA125" si="153">Q114-CD114</f>
        <v>160000000</v>
      </c>
      <c r="CZ114" s="24">
        <f t="shared" si="153"/>
        <v>0</v>
      </c>
      <c r="DA114" s="24">
        <f t="shared" si="153"/>
        <v>0</v>
      </c>
      <c r="DB114" s="24">
        <f t="shared" ref="DB114:DD124" si="154">+T114-CG114</f>
        <v>0</v>
      </c>
      <c r="DC114" s="24">
        <f t="shared" si="154"/>
        <v>0</v>
      </c>
      <c r="DD114" s="24">
        <f t="shared" si="154"/>
        <v>0</v>
      </c>
      <c r="DE114" s="24"/>
      <c r="DF114" s="24">
        <f t="shared" ref="DF114:DH124" si="155">+X114-CK114</f>
        <v>0</v>
      </c>
      <c r="DG114" s="24">
        <f t="shared" si="155"/>
        <v>0</v>
      </c>
      <c r="DH114" s="24">
        <f t="shared" si="155"/>
        <v>300905968</v>
      </c>
      <c r="DJ114" s="77"/>
      <c r="DK114" s="77"/>
      <c r="DL114" s="196">
        <f t="shared" si="104"/>
        <v>3613217579</v>
      </c>
      <c r="DM114" s="197">
        <f t="shared" si="105"/>
        <v>1327941667</v>
      </c>
      <c r="DN114" s="198">
        <f t="shared" si="72"/>
        <v>0.36752330518870202</v>
      </c>
    </row>
    <row r="115" spans="1:118" s="58" customFormat="1" ht="36" hidden="1" customHeight="1" x14ac:dyDescent="0.25">
      <c r="A115" s="238"/>
      <c r="B115" s="232"/>
      <c r="C115" s="55" t="s">
        <v>319</v>
      </c>
      <c r="D115" s="21" t="s">
        <v>320</v>
      </c>
      <c r="E115" s="89">
        <v>111</v>
      </c>
      <c r="F115" s="23" t="s">
        <v>321</v>
      </c>
      <c r="G115" s="24">
        <f t="shared" si="142"/>
        <v>1187573002</v>
      </c>
      <c r="H115" s="54"/>
      <c r="I115" s="54">
        <f>982978733+50000000</f>
        <v>1032978733</v>
      </c>
      <c r="J115" s="54">
        <v>39062301</v>
      </c>
      <c r="K115" s="54"/>
      <c r="L115" s="54"/>
      <c r="M115" s="54"/>
      <c r="N115" s="54"/>
      <c r="O115" s="54"/>
      <c r="P115" s="54">
        <f>3438802</f>
        <v>3438802</v>
      </c>
      <c r="Q115" s="54">
        <f>50000000</f>
        <v>50000000</v>
      </c>
      <c r="R115" s="54"/>
      <c r="S115" s="54"/>
      <c r="T115" s="54"/>
      <c r="U115" s="54"/>
      <c r="V115" s="54"/>
      <c r="W115" s="54"/>
      <c r="X115" s="54"/>
      <c r="Y115" s="54"/>
      <c r="Z115" s="54">
        <f>12000000+1000000+2897715+16000000+3195451+27000000</f>
        <v>62093166</v>
      </c>
      <c r="AA115" s="57">
        <f t="shared" si="115"/>
        <v>0.9516656576872905</v>
      </c>
      <c r="AB115" s="24">
        <f t="shared" si="143"/>
        <v>1130172442</v>
      </c>
      <c r="AC115" s="54"/>
      <c r="AD115" s="54"/>
      <c r="AE115" s="54">
        <f>+'[1]SEPTIEMBRE 2016'!$M$35</f>
        <v>1018550836</v>
      </c>
      <c r="AF115" s="54">
        <f>+'[1]SEPTIEMBRE 2016'!$N$35</f>
        <v>37587370</v>
      </c>
      <c r="AG115" s="54"/>
      <c r="AH115" s="54"/>
      <c r="AI115" s="54"/>
      <c r="AJ115" s="54"/>
      <c r="AK115" s="54"/>
      <c r="AL115" s="54">
        <f>+'[1]SEPTIEMBRE 2016'!$T$35</f>
        <v>300000</v>
      </c>
      <c r="AM115" s="24">
        <f>+'[7]MAYO 2016'!$U$31</f>
        <v>49856575</v>
      </c>
      <c r="AN115" s="54"/>
      <c r="AO115" s="54"/>
      <c r="AP115" s="54"/>
      <c r="AQ115" s="54"/>
      <c r="AR115" s="54"/>
      <c r="AS115" s="54"/>
      <c r="AT115" s="54"/>
      <c r="AU115" s="54"/>
      <c r="AV115" s="54">
        <f>+'[1]SEPTIEMBRE 2016'!$AG$35</f>
        <v>23877661</v>
      </c>
      <c r="AW115" s="57">
        <f t="shared" si="117"/>
        <v>4.83343423127095E-2</v>
      </c>
      <c r="AX115" s="24">
        <f t="shared" si="144"/>
        <v>57400560</v>
      </c>
      <c r="AY115" s="54">
        <f t="shared" si="145"/>
        <v>0</v>
      </c>
      <c r="AZ115" s="54">
        <f t="shared" si="145"/>
        <v>14427897</v>
      </c>
      <c r="BA115" s="54">
        <f t="shared" si="145"/>
        <v>1474931</v>
      </c>
      <c r="BB115" s="54">
        <f t="shared" si="146"/>
        <v>0</v>
      </c>
      <c r="BC115" s="54">
        <f t="shared" si="146"/>
        <v>0</v>
      </c>
      <c r="BD115" s="24">
        <f t="shared" si="146"/>
        <v>0</v>
      </c>
      <c r="BE115" s="54">
        <f t="shared" si="146"/>
        <v>0</v>
      </c>
      <c r="BF115" s="54">
        <f t="shared" si="146"/>
        <v>0</v>
      </c>
      <c r="BG115" s="54">
        <f t="shared" si="146"/>
        <v>3138802</v>
      </c>
      <c r="BH115" s="54">
        <f t="shared" si="146"/>
        <v>143425</v>
      </c>
      <c r="BI115" s="54">
        <f t="shared" si="146"/>
        <v>0</v>
      </c>
      <c r="BJ115" s="54">
        <f t="shared" si="146"/>
        <v>0</v>
      </c>
      <c r="BK115" s="54">
        <f t="shared" si="146"/>
        <v>0</v>
      </c>
      <c r="BL115" s="54">
        <f t="shared" si="146"/>
        <v>0</v>
      </c>
      <c r="BM115" s="54">
        <f t="shared" si="146"/>
        <v>0</v>
      </c>
      <c r="BN115" s="54"/>
      <c r="BO115" s="54"/>
      <c r="BP115" s="24">
        <f t="shared" si="147"/>
        <v>0</v>
      </c>
      <c r="BQ115" s="54">
        <f t="shared" si="148"/>
        <v>38215505</v>
      </c>
      <c r="BR115" s="57">
        <f t="shared" si="123"/>
        <v>0.89210500004276794</v>
      </c>
      <c r="BS115" s="24">
        <f t="shared" si="149"/>
        <v>1059439813</v>
      </c>
      <c r="BT115" s="54"/>
      <c r="BU115" s="54"/>
      <c r="BV115" s="54">
        <f>+'[1]SEPTIEMBRE 2016'!$H$36+'[1]SEPTIEMBRE 2016'!$H$40+'[1]SEPTIEMBRE 2016'!$H$42+'[1]SEPTIEMBRE 2016'!$H$45+'[1]SEPTIEMBRE 2016'!$H$47+'[1]SEPTIEMBRE 2016'!$H$50+'[1]SEPTIEMBRE 2016'!$H$52+'[1]SEPTIEMBRE 2016'!$H$54+'[1]SEPTIEMBRE 2016'!$H$56+'[1]SEPTIEMBRE 2016'!$H$60+'[1]SEPTIEMBRE 2016'!$H$67+'[1]SEPTIEMBRE 2016'!$H$71+'[1]SEPTIEMBRE 2016'!$M$75+'[1]SEPTIEMBRE 2016'!$H$77+'[1]SEPTIEMBRE 2016'!$H$83+'[1]SEPTIEMBRE 2016'!$H$86</f>
        <v>958702317</v>
      </c>
      <c r="BW115" s="54">
        <f>+'[1]SEPTIEMBRE 2016'!$H$62+'[1]SEPTIEMBRE 2016'!$N$75</f>
        <v>37587370</v>
      </c>
      <c r="BX115" s="54"/>
      <c r="BY115" s="54"/>
      <c r="BZ115" s="54"/>
      <c r="CA115" s="54"/>
      <c r="CB115" s="54"/>
      <c r="CC115" s="54">
        <f>+'[1]SEPTIEMBRE 2016'!$H$85</f>
        <v>300000</v>
      </c>
      <c r="CD115" s="54">
        <f>+'[8]ABRIL 2016'!$H$34</f>
        <v>49856575</v>
      </c>
      <c r="CE115" s="54"/>
      <c r="CF115" s="54"/>
      <c r="CG115" s="54"/>
      <c r="CH115" s="54"/>
      <c r="CI115" s="54"/>
      <c r="CJ115" s="54"/>
      <c r="CK115" s="54"/>
      <c r="CL115" s="54"/>
      <c r="CM115" s="54">
        <f>+'[1]SEPTIEMBRE 2016'!$H$58+'[1]SEPTIEMBRE 2016'!$H$64+'[1]SEPTIEMBRE 2016'!$H$65+'[1]SEPTIEMBRE 2016'!$H$69+'[1]SEPTIEMBRE 2016'!$H$73+'[1]SEPTIEMBRE 2016'!$H$80+'[1]SEPTIEMBRE 2016'!$H$81</f>
        <v>12993551</v>
      </c>
      <c r="CN115" s="57">
        <f t="shared" si="125"/>
        <v>0.10789499995723206</v>
      </c>
      <c r="CO115" s="24">
        <f t="shared" si="150"/>
        <v>128133189</v>
      </c>
      <c r="CP115" s="24">
        <f t="shared" si="151"/>
        <v>0</v>
      </c>
      <c r="CQ115" s="54">
        <f t="shared" si="151"/>
        <v>74276416</v>
      </c>
      <c r="CR115" s="54">
        <f t="shared" si="151"/>
        <v>1474931</v>
      </c>
      <c r="CS115" s="54">
        <f t="shared" si="151"/>
        <v>0</v>
      </c>
      <c r="CT115" s="54">
        <f t="shared" si="151"/>
        <v>0</v>
      </c>
      <c r="CU115" s="24">
        <f t="shared" si="151"/>
        <v>0</v>
      </c>
      <c r="CV115" s="54">
        <f t="shared" si="152"/>
        <v>0</v>
      </c>
      <c r="CW115" s="54">
        <f t="shared" si="152"/>
        <v>0</v>
      </c>
      <c r="CX115" s="24">
        <f t="shared" si="152"/>
        <v>3138802</v>
      </c>
      <c r="CY115" s="54">
        <f t="shared" si="153"/>
        <v>143425</v>
      </c>
      <c r="CZ115" s="54">
        <f t="shared" si="153"/>
        <v>0</v>
      </c>
      <c r="DA115" s="54">
        <f t="shared" si="153"/>
        <v>0</v>
      </c>
      <c r="DB115" s="54">
        <f t="shared" si="154"/>
        <v>0</v>
      </c>
      <c r="DC115" s="54">
        <f t="shared" si="154"/>
        <v>0</v>
      </c>
      <c r="DD115" s="54">
        <f t="shared" si="154"/>
        <v>0</v>
      </c>
      <c r="DE115" s="54"/>
      <c r="DF115" s="54">
        <f t="shared" si="155"/>
        <v>0</v>
      </c>
      <c r="DG115" s="24">
        <f t="shared" si="155"/>
        <v>0</v>
      </c>
      <c r="DH115" s="54">
        <f t="shared" si="155"/>
        <v>49099615</v>
      </c>
      <c r="DJ115" s="77"/>
      <c r="DK115" s="77"/>
      <c r="DL115" s="196">
        <f t="shared" si="104"/>
        <v>1187573002</v>
      </c>
      <c r="DM115" s="197">
        <f t="shared" si="105"/>
        <v>1059439813</v>
      </c>
      <c r="DN115" s="198">
        <f t="shared" si="72"/>
        <v>0.89210500004276794</v>
      </c>
    </row>
    <row r="116" spans="1:118" ht="41.25" hidden="1" customHeight="1" x14ac:dyDescent="0.25">
      <c r="A116" s="238"/>
      <c r="B116" s="233"/>
      <c r="C116" s="69" t="s">
        <v>322</v>
      </c>
      <c r="D116" s="21" t="s">
        <v>323</v>
      </c>
      <c r="E116" s="94">
        <v>111</v>
      </c>
      <c r="F116" s="23" t="s">
        <v>324</v>
      </c>
      <c r="G116" s="24">
        <f t="shared" si="142"/>
        <v>152147109</v>
      </c>
      <c r="H116" s="24"/>
      <c r="I116" s="24"/>
      <c r="J116" s="24">
        <f>59490931+52147109</f>
        <v>111638040</v>
      </c>
      <c r="K116" s="24"/>
      <c r="L116" s="24"/>
      <c r="M116" s="24"/>
      <c r="N116" s="24"/>
      <c r="O116" s="24"/>
      <c r="P116" s="24"/>
      <c r="Q116" s="54">
        <f>140509069-100000000</f>
        <v>40509069</v>
      </c>
      <c r="R116" s="24"/>
      <c r="S116" s="24"/>
      <c r="T116" s="24"/>
      <c r="U116" s="24"/>
      <c r="V116" s="24"/>
      <c r="W116" s="24"/>
      <c r="X116" s="24"/>
      <c r="Y116" s="24"/>
      <c r="Z116" s="24"/>
      <c r="AA116" s="25">
        <f t="shared" si="115"/>
        <v>0.92162145519307892</v>
      </c>
      <c r="AB116" s="24">
        <f t="shared" si="143"/>
        <v>140222040</v>
      </c>
      <c r="AC116" s="24"/>
      <c r="AD116" s="24"/>
      <c r="AE116" s="24"/>
      <c r="AF116" s="24">
        <f>+'[1]SEPTIEMBRE 2016'!$N$92</f>
        <v>110222040</v>
      </c>
      <c r="AG116" s="24"/>
      <c r="AH116" s="24"/>
      <c r="AI116" s="24"/>
      <c r="AJ116" s="24"/>
      <c r="AK116" s="24"/>
      <c r="AL116" s="24"/>
      <c r="AM116" s="24">
        <f>+'[8]ABRIL 2016'!$U$50</f>
        <v>30000000</v>
      </c>
      <c r="AN116" s="24"/>
      <c r="AO116" s="24"/>
      <c r="AP116" s="24"/>
      <c r="AQ116" s="24"/>
      <c r="AR116" s="24"/>
      <c r="AS116" s="24"/>
      <c r="AT116" s="24"/>
      <c r="AU116" s="24"/>
      <c r="AV116" s="24"/>
      <c r="AW116" s="25">
        <f t="shared" si="117"/>
        <v>7.837854480692108E-2</v>
      </c>
      <c r="AX116" s="24">
        <f t="shared" si="144"/>
        <v>11925069</v>
      </c>
      <c r="AY116" s="24">
        <f t="shared" si="145"/>
        <v>0</v>
      </c>
      <c r="AZ116" s="24">
        <f t="shared" si="145"/>
        <v>0</v>
      </c>
      <c r="BA116" s="24">
        <f t="shared" si="145"/>
        <v>1416000</v>
      </c>
      <c r="BB116" s="24">
        <f t="shared" si="146"/>
        <v>0</v>
      </c>
      <c r="BC116" s="24">
        <f t="shared" si="146"/>
        <v>0</v>
      </c>
      <c r="BD116" s="24">
        <f t="shared" si="146"/>
        <v>0</v>
      </c>
      <c r="BE116" s="24">
        <f t="shared" si="146"/>
        <v>0</v>
      </c>
      <c r="BF116" s="24">
        <f t="shared" si="146"/>
        <v>0</v>
      </c>
      <c r="BG116" s="24">
        <f t="shared" si="146"/>
        <v>0</v>
      </c>
      <c r="BH116" s="24">
        <f t="shared" si="146"/>
        <v>10509069</v>
      </c>
      <c r="BI116" s="24">
        <f t="shared" si="146"/>
        <v>0</v>
      </c>
      <c r="BJ116" s="24">
        <f t="shared" si="146"/>
        <v>0</v>
      </c>
      <c r="BK116" s="24">
        <f t="shared" si="146"/>
        <v>0</v>
      </c>
      <c r="BL116" s="24">
        <f t="shared" si="146"/>
        <v>0</v>
      </c>
      <c r="BM116" s="24">
        <f t="shared" si="146"/>
        <v>0</v>
      </c>
      <c r="BN116" s="24"/>
      <c r="BO116" s="24"/>
      <c r="BP116" s="24">
        <f t="shared" si="147"/>
        <v>0</v>
      </c>
      <c r="BQ116" s="24">
        <f t="shared" si="148"/>
        <v>0</v>
      </c>
      <c r="BR116" s="25">
        <f t="shared" si="123"/>
        <v>0.92162140261238878</v>
      </c>
      <c r="BS116" s="24">
        <f t="shared" si="149"/>
        <v>140222032</v>
      </c>
      <c r="BT116" s="24"/>
      <c r="BU116" s="24"/>
      <c r="BV116" s="24"/>
      <c r="BW116" s="24">
        <f>+'[1]SEPTIEMBRE 2016'!$H$93+'[1]SEPTIEMBRE 2016'!$H$97+'[1]SEPTIEMBRE 2016'!$H$99</f>
        <v>110222032</v>
      </c>
      <c r="BX116" s="24"/>
      <c r="BY116" s="24"/>
      <c r="BZ116" s="24"/>
      <c r="CA116" s="24"/>
      <c r="CB116" s="24"/>
      <c r="CC116" s="24"/>
      <c r="CD116" s="24">
        <f>+'[7]MAYO 2016'!$H$62</f>
        <v>30000000</v>
      </c>
      <c r="CE116" s="24"/>
      <c r="CF116" s="24"/>
      <c r="CG116" s="24"/>
      <c r="CH116" s="24"/>
      <c r="CI116" s="24"/>
      <c r="CJ116" s="24"/>
      <c r="CK116" s="24"/>
      <c r="CL116" s="24"/>
      <c r="CM116" s="24"/>
      <c r="CN116" s="25">
        <f t="shared" si="125"/>
        <v>7.8378597387611215E-2</v>
      </c>
      <c r="CO116" s="24">
        <f t="shared" si="150"/>
        <v>11925077</v>
      </c>
      <c r="CP116" s="24">
        <f t="shared" si="151"/>
        <v>0</v>
      </c>
      <c r="CQ116" s="24">
        <f t="shared" si="151"/>
        <v>0</v>
      </c>
      <c r="CR116" s="24">
        <f t="shared" si="151"/>
        <v>1416008</v>
      </c>
      <c r="CS116" s="24">
        <f t="shared" si="151"/>
        <v>0</v>
      </c>
      <c r="CT116" s="24">
        <f t="shared" si="151"/>
        <v>0</v>
      </c>
      <c r="CU116" s="24">
        <f t="shared" si="151"/>
        <v>0</v>
      </c>
      <c r="CV116" s="24">
        <f t="shared" si="152"/>
        <v>0</v>
      </c>
      <c r="CW116" s="24">
        <f t="shared" si="152"/>
        <v>0</v>
      </c>
      <c r="CX116" s="24">
        <f t="shared" si="152"/>
        <v>0</v>
      </c>
      <c r="CY116" s="24">
        <f t="shared" si="153"/>
        <v>10509069</v>
      </c>
      <c r="CZ116" s="24">
        <f t="shared" si="153"/>
        <v>0</v>
      </c>
      <c r="DA116" s="24">
        <f t="shared" si="153"/>
        <v>0</v>
      </c>
      <c r="DB116" s="24">
        <f t="shared" si="154"/>
        <v>0</v>
      </c>
      <c r="DC116" s="24">
        <f t="shared" si="154"/>
        <v>0</v>
      </c>
      <c r="DD116" s="24">
        <f t="shared" si="154"/>
        <v>0</v>
      </c>
      <c r="DE116" s="24"/>
      <c r="DF116" s="24">
        <f t="shared" si="155"/>
        <v>0</v>
      </c>
      <c r="DG116" s="24">
        <f t="shared" si="155"/>
        <v>0</v>
      </c>
      <c r="DH116" s="24">
        <f t="shared" si="155"/>
        <v>0</v>
      </c>
      <c r="DI116" s="43"/>
      <c r="DJ116" s="77"/>
      <c r="DK116" s="77"/>
      <c r="DL116" s="196">
        <f t="shared" si="104"/>
        <v>152147109</v>
      </c>
      <c r="DM116" s="197">
        <f t="shared" si="105"/>
        <v>140222032</v>
      </c>
      <c r="DN116" s="198">
        <f t="shared" si="72"/>
        <v>0.92162140261238878</v>
      </c>
    </row>
    <row r="117" spans="1:118" ht="47.25" hidden="1" customHeight="1" x14ac:dyDescent="0.25">
      <c r="A117" s="238"/>
      <c r="B117" s="231" t="s">
        <v>325</v>
      </c>
      <c r="C117" s="69" t="s">
        <v>326</v>
      </c>
      <c r="D117" s="21" t="s">
        <v>327</v>
      </c>
      <c r="E117" s="94">
        <v>211</v>
      </c>
      <c r="F117" s="23" t="s">
        <v>328</v>
      </c>
      <c r="G117" s="24">
        <f t="shared" si="142"/>
        <v>2140419657</v>
      </c>
      <c r="H117" s="24"/>
      <c r="I117" s="24">
        <f>2300000000-500000000+260540160</f>
        <v>2060540160</v>
      </c>
      <c r="J117" s="24"/>
      <c r="K117" s="24"/>
      <c r="L117" s="24"/>
      <c r="M117" s="24"/>
      <c r="N117" s="24"/>
      <c r="O117" s="24"/>
      <c r="P117" s="24"/>
      <c r="Q117" s="24">
        <f>70000000</f>
        <v>70000000</v>
      </c>
      <c r="R117" s="24"/>
      <c r="S117" s="24"/>
      <c r="T117" s="24"/>
      <c r="U117" s="24"/>
      <c r="V117" s="24"/>
      <c r="W117" s="24"/>
      <c r="X117" s="24"/>
      <c r="Y117" s="24"/>
      <c r="Z117" s="24">
        <f>9879497</f>
        <v>9879497</v>
      </c>
      <c r="AA117" s="25">
        <f t="shared" si="115"/>
        <v>0.60972711904037613</v>
      </c>
      <c r="AB117" s="24">
        <f t="shared" si="143"/>
        <v>1305071911</v>
      </c>
      <c r="AC117" s="24"/>
      <c r="AD117" s="24"/>
      <c r="AE117" s="24">
        <f>+'[1]SEPTIEMBRE 2016'!$M$110</f>
        <v>1225205791</v>
      </c>
      <c r="AF117" s="24"/>
      <c r="AG117" s="24"/>
      <c r="AH117" s="24"/>
      <c r="AI117" s="24"/>
      <c r="AJ117" s="24"/>
      <c r="AK117" s="24"/>
      <c r="AL117" s="24"/>
      <c r="AM117" s="24">
        <f>+'[7]MAYO 2016'!$U$75</f>
        <v>70000000</v>
      </c>
      <c r="AN117" s="24"/>
      <c r="AO117" s="24"/>
      <c r="AP117" s="24"/>
      <c r="AQ117" s="24"/>
      <c r="AR117" s="24"/>
      <c r="AS117" s="24"/>
      <c r="AT117" s="24"/>
      <c r="AU117" s="24"/>
      <c r="AV117" s="24">
        <f>+'[7]MAYO 2016'!$AG$75</f>
        <v>9866120</v>
      </c>
      <c r="AW117" s="25">
        <f t="shared" si="117"/>
        <v>0.39027288095962387</v>
      </c>
      <c r="AX117" s="24">
        <f t="shared" si="144"/>
        <v>835347746</v>
      </c>
      <c r="AY117" s="24">
        <f t="shared" si="145"/>
        <v>0</v>
      </c>
      <c r="AZ117" s="24">
        <f t="shared" si="145"/>
        <v>835334369</v>
      </c>
      <c r="BA117" s="24">
        <f t="shared" si="145"/>
        <v>0</v>
      </c>
      <c r="BB117" s="24">
        <f t="shared" si="146"/>
        <v>0</v>
      </c>
      <c r="BC117" s="24">
        <f t="shared" si="146"/>
        <v>0</v>
      </c>
      <c r="BD117" s="24">
        <f t="shared" si="146"/>
        <v>0</v>
      </c>
      <c r="BE117" s="24">
        <f t="shared" si="146"/>
        <v>0</v>
      </c>
      <c r="BF117" s="24">
        <f t="shared" si="146"/>
        <v>0</v>
      </c>
      <c r="BG117" s="24">
        <f t="shared" si="146"/>
        <v>0</v>
      </c>
      <c r="BH117" s="24">
        <f t="shared" si="146"/>
        <v>0</v>
      </c>
      <c r="BI117" s="24">
        <f t="shared" si="146"/>
        <v>0</v>
      </c>
      <c r="BJ117" s="24">
        <f t="shared" si="146"/>
        <v>0</v>
      </c>
      <c r="BK117" s="24">
        <f t="shared" si="146"/>
        <v>0</v>
      </c>
      <c r="BL117" s="24">
        <f t="shared" si="146"/>
        <v>0</v>
      </c>
      <c r="BM117" s="24">
        <f t="shared" si="146"/>
        <v>0</v>
      </c>
      <c r="BN117" s="24"/>
      <c r="BO117" s="24"/>
      <c r="BP117" s="24">
        <f t="shared" si="147"/>
        <v>0</v>
      </c>
      <c r="BQ117" s="24">
        <f t="shared" si="148"/>
        <v>13377</v>
      </c>
      <c r="BR117" s="25">
        <f t="shared" si="123"/>
        <v>0.45452335238014496</v>
      </c>
      <c r="BS117" s="24">
        <f t="shared" si="149"/>
        <v>972870718</v>
      </c>
      <c r="BT117" s="24"/>
      <c r="BU117" s="24"/>
      <c r="BV117" s="24">
        <f>+'[1]SEPTIEMBRE 2016'!$H$111+'[1]SEPTIEMBRE 2016'!$H$115+'[1]SEPTIEMBRE 2016'!$H$120+'[1]SEPTIEMBRE 2016'!$H$122+'[1]SEPTIEMBRE 2016'!$H$124+'[1]SEPTIEMBRE 2016'!$H$126+'[1]SEPTIEMBRE 2016'!$H$127+'[1]SEPTIEMBRE 2016'!$H$133+'[1]SEPTIEMBRE 2016'!$H$137+'[1]SEPTIEMBRE 2016'!$H$139+'[1]SEPTIEMBRE 2016'!$H$141+'[1]SEPTIEMBRE 2016'!$H$143+'[1]SEPTIEMBRE 2016'!$H$145+'[1]SEPTIEMBRE 2016'!$H$147+'[1]SEPTIEMBRE 2016'!$H$149+'[1]SEPTIEMBRE 2016'!$H$153+'[1]SEPTIEMBRE 2016'!$H$155+'[1]SEPTIEMBRE 2016'!$H$157+'[1]SEPTIEMBRE 2016'!$H$159+'[1]SEPTIEMBRE 2016'!$H$161</f>
        <v>927748448</v>
      </c>
      <c r="BW117" s="24"/>
      <c r="BX117" s="24"/>
      <c r="BY117" s="24"/>
      <c r="BZ117" s="24"/>
      <c r="CA117" s="24"/>
      <c r="CB117" s="24"/>
      <c r="CC117" s="24"/>
      <c r="CD117" s="24">
        <f>+'[1]SEPTIEMBRE 2016'!$H$113</f>
        <v>35256150</v>
      </c>
      <c r="CE117" s="24"/>
      <c r="CF117" s="24"/>
      <c r="CG117" s="24"/>
      <c r="CH117" s="24"/>
      <c r="CI117" s="24"/>
      <c r="CJ117" s="24"/>
      <c r="CK117" s="24"/>
      <c r="CL117" s="24"/>
      <c r="CM117" s="24">
        <f>+'[7]MAYO 2016'!$H$91</f>
        <v>9866120</v>
      </c>
      <c r="CN117" s="25">
        <f t="shared" si="125"/>
        <v>0.54547664761985504</v>
      </c>
      <c r="CO117" s="24">
        <f t="shared" si="150"/>
        <v>1167548939</v>
      </c>
      <c r="CP117" s="24">
        <f t="shared" si="151"/>
        <v>0</v>
      </c>
      <c r="CQ117" s="24">
        <f t="shared" si="151"/>
        <v>1132791712</v>
      </c>
      <c r="CR117" s="24">
        <f t="shared" si="151"/>
        <v>0</v>
      </c>
      <c r="CS117" s="24">
        <f t="shared" si="151"/>
        <v>0</v>
      </c>
      <c r="CT117" s="24">
        <f t="shared" si="151"/>
        <v>0</v>
      </c>
      <c r="CU117" s="24">
        <f t="shared" si="151"/>
        <v>0</v>
      </c>
      <c r="CV117" s="24">
        <f t="shared" si="152"/>
        <v>0</v>
      </c>
      <c r="CW117" s="24">
        <f t="shared" si="152"/>
        <v>0</v>
      </c>
      <c r="CX117" s="24">
        <f t="shared" si="152"/>
        <v>0</v>
      </c>
      <c r="CY117" s="24">
        <f t="shared" si="153"/>
        <v>34743850</v>
      </c>
      <c r="CZ117" s="24">
        <f t="shared" si="153"/>
        <v>0</v>
      </c>
      <c r="DA117" s="24">
        <f t="shared" si="153"/>
        <v>0</v>
      </c>
      <c r="DB117" s="24">
        <f t="shared" si="154"/>
        <v>0</v>
      </c>
      <c r="DC117" s="24">
        <f t="shared" si="154"/>
        <v>0</v>
      </c>
      <c r="DD117" s="24">
        <f t="shared" si="154"/>
        <v>0</v>
      </c>
      <c r="DE117" s="24"/>
      <c r="DF117" s="24">
        <f t="shared" si="155"/>
        <v>0</v>
      </c>
      <c r="DG117" s="24">
        <f t="shared" si="155"/>
        <v>0</v>
      </c>
      <c r="DH117" s="24">
        <f t="shared" si="155"/>
        <v>13377</v>
      </c>
      <c r="DJ117" s="77"/>
      <c r="DK117" s="77"/>
      <c r="DL117" s="196">
        <f t="shared" si="104"/>
        <v>2140419657</v>
      </c>
      <c r="DM117" s="197">
        <f t="shared" si="105"/>
        <v>972870718</v>
      </c>
      <c r="DN117" s="198">
        <f t="shared" si="72"/>
        <v>0.45452335238014496</v>
      </c>
    </row>
    <row r="118" spans="1:118" ht="50.25" hidden="1" customHeight="1" x14ac:dyDescent="0.25">
      <c r="A118" s="238"/>
      <c r="B118" s="232"/>
      <c r="C118" s="69" t="s">
        <v>329</v>
      </c>
      <c r="D118" s="95" t="s">
        <v>330</v>
      </c>
      <c r="E118" s="94">
        <v>211</v>
      </c>
      <c r="F118" s="23" t="s">
        <v>324</v>
      </c>
      <c r="G118" s="24">
        <f t="shared" si="142"/>
        <v>343861405</v>
      </c>
      <c r="H118" s="24"/>
      <c r="I118" s="24">
        <f>170000000+50000000-35570983</f>
        <v>184429017</v>
      </c>
      <c r="J118" s="24"/>
      <c r="K118" s="24"/>
      <c r="L118" s="24"/>
      <c r="M118" s="24"/>
      <c r="N118" s="24"/>
      <c r="O118" s="24"/>
      <c r="P118" s="24"/>
      <c r="Q118" s="24">
        <v>10432388</v>
      </c>
      <c r="R118" s="24"/>
      <c r="S118" s="24">
        <v>130000000</v>
      </c>
      <c r="T118" s="24"/>
      <c r="U118" s="24"/>
      <c r="V118" s="24"/>
      <c r="W118" s="24"/>
      <c r="X118" s="24"/>
      <c r="Y118" s="24"/>
      <c r="Z118" s="24">
        <v>19000000</v>
      </c>
      <c r="AA118" s="25">
        <f t="shared" si="115"/>
        <v>0.57058074604214448</v>
      </c>
      <c r="AB118" s="24">
        <f t="shared" si="143"/>
        <v>196200697</v>
      </c>
      <c r="AC118" s="24"/>
      <c r="AD118" s="24"/>
      <c r="AE118" s="24">
        <f>+'[1]SEPTIEMBRE 2016'!$M$166</f>
        <v>183524217</v>
      </c>
      <c r="AF118" s="24"/>
      <c r="AG118" s="24"/>
      <c r="AH118" s="24"/>
      <c r="AI118" s="24"/>
      <c r="AJ118" s="24"/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>
        <f>+'[1]SEPTIEMBRE 2016'!$AG$166</f>
        <v>12676480</v>
      </c>
      <c r="AW118" s="25">
        <f t="shared" si="117"/>
        <v>0.42941925395785552</v>
      </c>
      <c r="AX118" s="24">
        <f t="shared" si="144"/>
        <v>147660708</v>
      </c>
      <c r="AY118" s="24">
        <f t="shared" si="145"/>
        <v>0</v>
      </c>
      <c r="AZ118" s="24">
        <f t="shared" si="145"/>
        <v>904800</v>
      </c>
      <c r="BA118" s="24">
        <f t="shared" si="145"/>
        <v>0</v>
      </c>
      <c r="BB118" s="24">
        <f t="shared" si="146"/>
        <v>0</v>
      </c>
      <c r="BC118" s="24">
        <f t="shared" si="146"/>
        <v>0</v>
      </c>
      <c r="BD118" s="24">
        <f t="shared" si="146"/>
        <v>0</v>
      </c>
      <c r="BE118" s="24">
        <f t="shared" si="146"/>
        <v>0</v>
      </c>
      <c r="BF118" s="24">
        <f t="shared" si="146"/>
        <v>0</v>
      </c>
      <c r="BG118" s="24">
        <f t="shared" si="146"/>
        <v>0</v>
      </c>
      <c r="BH118" s="24">
        <f t="shared" si="146"/>
        <v>10432388</v>
      </c>
      <c r="BI118" s="24">
        <f t="shared" si="146"/>
        <v>0</v>
      </c>
      <c r="BJ118" s="24">
        <f t="shared" si="146"/>
        <v>130000000</v>
      </c>
      <c r="BK118" s="24">
        <f t="shared" si="146"/>
        <v>0</v>
      </c>
      <c r="BL118" s="24">
        <f t="shared" si="146"/>
        <v>0</v>
      </c>
      <c r="BM118" s="24">
        <f t="shared" si="146"/>
        <v>0</v>
      </c>
      <c r="BN118" s="24"/>
      <c r="BO118" s="24"/>
      <c r="BP118" s="24">
        <f t="shared" si="147"/>
        <v>0</v>
      </c>
      <c r="BQ118" s="24">
        <f t="shared" si="148"/>
        <v>6323520</v>
      </c>
      <c r="BR118" s="25">
        <f t="shared" si="123"/>
        <v>0.53357967579990551</v>
      </c>
      <c r="BS118" s="24">
        <f t="shared" si="149"/>
        <v>183477457</v>
      </c>
      <c r="BT118" s="24"/>
      <c r="BU118" s="24"/>
      <c r="BV118" s="24">
        <f>+'[1]SEPTIEMBRE 2016'!$H$167+'[1]SEPTIEMBRE 2016'!$H$176+'[1]SEPTIEMBRE 2016'!$H$178+'[1]SEPTIEMBRE 2016'!$H$179+'[1]SEPTIEMBRE 2016'!$H$181+'[1]SEPTIEMBRE 2016'!$H$184+'[1]SEPTIEMBRE 2016'!$H$187+'[1]SEPTIEMBRE 2016'!$H$189+'[1]SEPTIEMBRE 2016'!$H$191</f>
        <v>183477457</v>
      </c>
      <c r="BW118" s="24"/>
      <c r="BX118" s="24"/>
      <c r="BY118" s="24"/>
      <c r="BZ118" s="24"/>
      <c r="CA118" s="24"/>
      <c r="CB118" s="24"/>
      <c r="CC118" s="24"/>
      <c r="CD118" s="24"/>
      <c r="CE118" s="24"/>
      <c r="CF118" s="24"/>
      <c r="CG118" s="24"/>
      <c r="CH118" s="24"/>
      <c r="CI118" s="24"/>
      <c r="CJ118" s="24"/>
      <c r="CK118" s="24"/>
      <c r="CL118" s="24"/>
      <c r="CM118" s="24"/>
      <c r="CN118" s="25">
        <f t="shared" si="125"/>
        <v>0.46642032420009449</v>
      </c>
      <c r="CO118" s="24">
        <f t="shared" si="150"/>
        <v>160383948</v>
      </c>
      <c r="CP118" s="24">
        <f t="shared" si="151"/>
        <v>0</v>
      </c>
      <c r="CQ118" s="24">
        <f t="shared" si="151"/>
        <v>951560</v>
      </c>
      <c r="CR118" s="24">
        <f t="shared" si="151"/>
        <v>0</v>
      </c>
      <c r="CS118" s="24">
        <f t="shared" si="151"/>
        <v>0</v>
      </c>
      <c r="CT118" s="24">
        <f t="shared" si="151"/>
        <v>0</v>
      </c>
      <c r="CU118" s="24">
        <f t="shared" si="151"/>
        <v>0</v>
      </c>
      <c r="CV118" s="24">
        <f t="shared" si="152"/>
        <v>0</v>
      </c>
      <c r="CW118" s="24">
        <f t="shared" si="152"/>
        <v>0</v>
      </c>
      <c r="CX118" s="24">
        <f t="shared" si="152"/>
        <v>0</v>
      </c>
      <c r="CY118" s="24">
        <f t="shared" si="153"/>
        <v>10432388</v>
      </c>
      <c r="CZ118" s="24">
        <f t="shared" si="153"/>
        <v>0</v>
      </c>
      <c r="DA118" s="24">
        <f t="shared" si="153"/>
        <v>130000000</v>
      </c>
      <c r="DB118" s="24">
        <f t="shared" si="154"/>
        <v>0</v>
      </c>
      <c r="DC118" s="24">
        <f t="shared" si="154"/>
        <v>0</v>
      </c>
      <c r="DD118" s="24">
        <f t="shared" si="154"/>
        <v>0</v>
      </c>
      <c r="DE118" s="24"/>
      <c r="DF118" s="24">
        <f t="shared" si="155"/>
        <v>0</v>
      </c>
      <c r="DG118" s="24">
        <f t="shared" si="155"/>
        <v>0</v>
      </c>
      <c r="DH118" s="24">
        <f t="shared" si="155"/>
        <v>19000000</v>
      </c>
      <c r="DJ118" s="77"/>
      <c r="DK118" s="77"/>
      <c r="DL118" s="196">
        <f t="shared" si="104"/>
        <v>343861405</v>
      </c>
      <c r="DM118" s="197">
        <f t="shared" si="105"/>
        <v>183477457</v>
      </c>
      <c r="DN118" s="198">
        <f t="shared" si="72"/>
        <v>0.53357967579990551</v>
      </c>
    </row>
    <row r="119" spans="1:118" s="58" customFormat="1" ht="33" hidden="1" customHeight="1" x14ac:dyDescent="0.25">
      <c r="A119" s="238"/>
      <c r="B119" s="232"/>
      <c r="C119" s="55" t="s">
        <v>331</v>
      </c>
      <c r="D119" s="21" t="s">
        <v>332</v>
      </c>
      <c r="E119" s="89">
        <v>211</v>
      </c>
      <c r="F119" s="23" t="s">
        <v>333</v>
      </c>
      <c r="G119" s="24">
        <f t="shared" si="142"/>
        <v>316552303</v>
      </c>
      <c r="H119" s="28"/>
      <c r="I119" s="54">
        <f>453535209-155982906</f>
        <v>297552303</v>
      </c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>
        <f>6000000+13000000</f>
        <v>19000000</v>
      </c>
      <c r="AA119" s="57">
        <f t="shared" si="115"/>
        <v>0.98104578629459538</v>
      </c>
      <c r="AB119" s="24">
        <f t="shared" si="143"/>
        <v>310552303</v>
      </c>
      <c r="AC119" s="54"/>
      <c r="AD119" s="54"/>
      <c r="AE119" s="54">
        <f>+'[1]SEPTIEMBRE 2016'!$M$202</f>
        <v>297552303</v>
      </c>
      <c r="AF119" s="54"/>
      <c r="AG119" s="54"/>
      <c r="AH119" s="54"/>
      <c r="AI119" s="54"/>
      <c r="AJ119" s="54"/>
      <c r="AK119" s="54"/>
      <c r="AL119" s="54"/>
      <c r="AM119" s="54"/>
      <c r="AN119" s="54"/>
      <c r="AO119" s="54"/>
      <c r="AP119" s="54"/>
      <c r="AQ119" s="54"/>
      <c r="AR119" s="54"/>
      <c r="AS119" s="54"/>
      <c r="AT119" s="54"/>
      <c r="AU119" s="54"/>
      <c r="AV119" s="54">
        <f>+'[1]SEPTIEMBRE 2016'!$AG$202</f>
        <v>13000000</v>
      </c>
      <c r="AW119" s="57">
        <f t="shared" si="117"/>
        <v>1.8954213705404621E-2</v>
      </c>
      <c r="AX119" s="24">
        <f t="shared" si="144"/>
        <v>6000000</v>
      </c>
      <c r="AY119" s="54">
        <f t="shared" si="145"/>
        <v>0</v>
      </c>
      <c r="AZ119" s="54">
        <f t="shared" si="145"/>
        <v>0</v>
      </c>
      <c r="BA119" s="54">
        <f t="shared" si="145"/>
        <v>0</v>
      </c>
      <c r="BB119" s="54">
        <f t="shared" si="146"/>
        <v>0</v>
      </c>
      <c r="BC119" s="54">
        <f t="shared" si="146"/>
        <v>0</v>
      </c>
      <c r="BD119" s="24">
        <f t="shared" si="146"/>
        <v>0</v>
      </c>
      <c r="BE119" s="54">
        <f t="shared" si="146"/>
        <v>0</v>
      </c>
      <c r="BF119" s="54">
        <f t="shared" si="146"/>
        <v>0</v>
      </c>
      <c r="BG119" s="54">
        <f t="shared" si="146"/>
        <v>0</v>
      </c>
      <c r="BH119" s="54">
        <f t="shared" si="146"/>
        <v>0</v>
      </c>
      <c r="BI119" s="54">
        <f t="shared" si="146"/>
        <v>0</v>
      </c>
      <c r="BJ119" s="54">
        <f t="shared" si="146"/>
        <v>0</v>
      </c>
      <c r="BK119" s="54">
        <f t="shared" si="146"/>
        <v>0</v>
      </c>
      <c r="BL119" s="54">
        <f t="shared" si="146"/>
        <v>0</v>
      </c>
      <c r="BM119" s="54">
        <f t="shared" si="146"/>
        <v>0</v>
      </c>
      <c r="BN119" s="54"/>
      <c r="BO119" s="54"/>
      <c r="BP119" s="24">
        <f t="shared" si="147"/>
        <v>0</v>
      </c>
      <c r="BQ119" s="54">
        <f t="shared" si="148"/>
        <v>6000000</v>
      </c>
      <c r="BR119" s="57">
        <f t="shared" si="123"/>
        <v>0.36935075465238359</v>
      </c>
      <c r="BS119" s="24">
        <f t="shared" si="149"/>
        <v>116918832</v>
      </c>
      <c r="BT119" s="54"/>
      <c r="BU119" s="54"/>
      <c r="BV119" s="54">
        <f>+'[1]SEPTIEMBRE 2016'!$H$203+'[1]SEPTIEMBRE 2016'!$H$206</f>
        <v>103918832</v>
      </c>
      <c r="BW119" s="54"/>
      <c r="BX119" s="54"/>
      <c r="BY119" s="54"/>
      <c r="BZ119" s="54"/>
      <c r="CA119" s="54"/>
      <c r="CB119" s="54"/>
      <c r="CC119" s="54"/>
      <c r="CD119" s="54"/>
      <c r="CE119" s="54"/>
      <c r="CF119" s="54"/>
      <c r="CG119" s="54"/>
      <c r="CH119" s="54"/>
      <c r="CI119" s="54"/>
      <c r="CJ119" s="54"/>
      <c r="CK119" s="54"/>
      <c r="CL119" s="54"/>
      <c r="CM119" s="54">
        <f>+'[1]SEPTIEMBRE 2016'!$H$209</f>
        <v>13000000</v>
      </c>
      <c r="CN119" s="57">
        <f t="shared" si="125"/>
        <v>0.63064924534761646</v>
      </c>
      <c r="CO119" s="24">
        <f t="shared" si="150"/>
        <v>199633471</v>
      </c>
      <c r="CP119" s="24">
        <f t="shared" si="151"/>
        <v>0</v>
      </c>
      <c r="CQ119" s="54">
        <f t="shared" si="151"/>
        <v>193633471</v>
      </c>
      <c r="CR119" s="54">
        <f t="shared" si="151"/>
        <v>0</v>
      </c>
      <c r="CS119" s="54">
        <f t="shared" si="151"/>
        <v>0</v>
      </c>
      <c r="CT119" s="54">
        <f t="shared" si="151"/>
        <v>0</v>
      </c>
      <c r="CU119" s="24">
        <f t="shared" si="151"/>
        <v>0</v>
      </c>
      <c r="CV119" s="54">
        <f t="shared" si="152"/>
        <v>0</v>
      </c>
      <c r="CW119" s="54">
        <f t="shared" si="152"/>
        <v>0</v>
      </c>
      <c r="CX119" s="24">
        <f t="shared" si="152"/>
        <v>0</v>
      </c>
      <c r="CY119" s="54">
        <f t="shared" si="153"/>
        <v>0</v>
      </c>
      <c r="CZ119" s="54">
        <f t="shared" si="153"/>
        <v>0</v>
      </c>
      <c r="DA119" s="54">
        <f t="shared" si="153"/>
        <v>0</v>
      </c>
      <c r="DB119" s="54">
        <f t="shared" si="154"/>
        <v>0</v>
      </c>
      <c r="DC119" s="54">
        <f t="shared" si="154"/>
        <v>0</v>
      </c>
      <c r="DD119" s="54">
        <f t="shared" si="154"/>
        <v>0</v>
      </c>
      <c r="DE119" s="54"/>
      <c r="DF119" s="54">
        <f t="shared" si="155"/>
        <v>0</v>
      </c>
      <c r="DG119" s="54">
        <f t="shared" si="155"/>
        <v>0</v>
      </c>
      <c r="DH119" s="54">
        <f t="shared" si="155"/>
        <v>6000000</v>
      </c>
      <c r="DJ119" s="77"/>
      <c r="DK119" s="77"/>
      <c r="DL119" s="196">
        <f t="shared" si="104"/>
        <v>316552303</v>
      </c>
      <c r="DM119" s="197">
        <f t="shared" si="105"/>
        <v>116918832</v>
      </c>
      <c r="DN119" s="198">
        <f t="shared" si="72"/>
        <v>0.36935075465238359</v>
      </c>
    </row>
    <row r="120" spans="1:118" ht="95.25" hidden="1" customHeight="1" x14ac:dyDescent="0.25">
      <c r="A120" s="238"/>
      <c r="B120" s="232"/>
      <c r="C120" s="69" t="s">
        <v>334</v>
      </c>
      <c r="D120" s="21" t="s">
        <v>335</v>
      </c>
      <c r="E120" s="94">
        <v>211</v>
      </c>
      <c r="F120" s="23" t="s">
        <v>336</v>
      </c>
      <c r="G120" s="24">
        <f t="shared" si="142"/>
        <v>447777768</v>
      </c>
      <c r="H120" s="33"/>
      <c r="I120" s="24">
        <v>300000000</v>
      </c>
      <c r="J120" s="24"/>
      <c r="K120" s="24"/>
      <c r="L120" s="24"/>
      <c r="M120" s="24"/>
      <c r="N120" s="24"/>
      <c r="O120" s="24"/>
      <c r="P120" s="24"/>
      <c r="Q120" s="24">
        <v>15000000</v>
      </c>
      <c r="R120" s="24"/>
      <c r="S120" s="24"/>
      <c r="T120" s="24"/>
      <c r="U120" s="24"/>
      <c r="V120" s="24"/>
      <c r="W120" s="24"/>
      <c r="X120" s="24"/>
      <c r="Y120" s="24"/>
      <c r="Z120" s="24">
        <f>105607498+8000000+9000000-4000000+8000000-30000000+9956624+26213646</f>
        <v>132777768</v>
      </c>
      <c r="AA120" s="25">
        <f t="shared" si="115"/>
        <v>0.90015452263364715</v>
      </c>
      <c r="AB120" s="24">
        <f t="shared" si="143"/>
        <v>403069183</v>
      </c>
      <c r="AC120" s="24"/>
      <c r="AD120" s="24"/>
      <c r="AE120" s="24">
        <f>+'[1]SEPTIEMBRE 2016'!$M$216</f>
        <v>299974318</v>
      </c>
      <c r="AF120" s="24"/>
      <c r="AG120" s="24"/>
      <c r="AH120" s="24"/>
      <c r="AI120" s="24"/>
      <c r="AJ120" s="24"/>
      <c r="AK120" s="24"/>
      <c r="AL120" s="24"/>
      <c r="AM120" s="24">
        <v>15000000</v>
      </c>
      <c r="AN120" s="24"/>
      <c r="AO120" s="24"/>
      <c r="AP120" s="24"/>
      <c r="AQ120" s="24"/>
      <c r="AR120" s="24"/>
      <c r="AS120" s="24"/>
      <c r="AT120" s="24"/>
      <c r="AU120" s="24"/>
      <c r="AV120" s="24">
        <f>+'[1]SEPTIEMBRE 2016'!$AG$216</f>
        <v>88094865</v>
      </c>
      <c r="AW120" s="25">
        <f t="shared" si="117"/>
        <v>9.9845477366352853E-2</v>
      </c>
      <c r="AX120" s="24">
        <f t="shared" si="144"/>
        <v>44708585</v>
      </c>
      <c r="AY120" s="24">
        <f t="shared" si="145"/>
        <v>0</v>
      </c>
      <c r="AZ120" s="24">
        <f t="shared" si="145"/>
        <v>25682</v>
      </c>
      <c r="BA120" s="24">
        <f t="shared" si="145"/>
        <v>0</v>
      </c>
      <c r="BB120" s="24">
        <f t="shared" si="146"/>
        <v>0</v>
      </c>
      <c r="BC120" s="24">
        <f t="shared" si="146"/>
        <v>0</v>
      </c>
      <c r="BD120" s="24">
        <f t="shared" si="146"/>
        <v>0</v>
      </c>
      <c r="BE120" s="24">
        <f t="shared" si="146"/>
        <v>0</v>
      </c>
      <c r="BF120" s="24">
        <f t="shared" si="146"/>
        <v>0</v>
      </c>
      <c r="BG120" s="24">
        <f t="shared" si="146"/>
        <v>0</v>
      </c>
      <c r="BH120" s="24">
        <f t="shared" si="146"/>
        <v>0</v>
      </c>
      <c r="BI120" s="24">
        <f t="shared" si="146"/>
        <v>0</v>
      </c>
      <c r="BJ120" s="24">
        <f t="shared" si="146"/>
        <v>0</v>
      </c>
      <c r="BK120" s="24">
        <f t="shared" si="146"/>
        <v>0</v>
      </c>
      <c r="BL120" s="24">
        <f t="shared" si="146"/>
        <v>0</v>
      </c>
      <c r="BM120" s="24">
        <f t="shared" si="146"/>
        <v>0</v>
      </c>
      <c r="BN120" s="24"/>
      <c r="BO120" s="24"/>
      <c r="BP120" s="24">
        <f t="shared" si="147"/>
        <v>0</v>
      </c>
      <c r="BQ120" s="24">
        <f t="shared" si="148"/>
        <v>44682903</v>
      </c>
      <c r="BR120" s="25">
        <f t="shared" si="123"/>
        <v>0.37360528582562413</v>
      </c>
      <c r="BS120" s="24">
        <f t="shared" si="149"/>
        <v>167292141</v>
      </c>
      <c r="BT120" s="24"/>
      <c r="BU120" s="24"/>
      <c r="BV120" s="24">
        <f>+'[1]SEPTIEMBRE 2016'!$H$219+'[1]SEPTIEMBRE 2016'!$H$221+'[1]SEPTIEMBRE 2016'!$H$227+'[1]SEPTIEMBRE 2016'!$H$229+'[1]SEPTIEMBRE 2016'!$H$243</f>
        <v>67044976</v>
      </c>
      <c r="BW120" s="24"/>
      <c r="BX120" s="24"/>
      <c r="BY120" s="24"/>
      <c r="BZ120" s="24"/>
      <c r="CA120" s="24"/>
      <c r="CB120" s="24"/>
      <c r="CC120" s="24"/>
      <c r="CD120" s="24">
        <f>+'[9]MARZO 2016 ULTIMO'!$H$88</f>
        <v>15000000</v>
      </c>
      <c r="CE120" s="24"/>
      <c r="CF120" s="24"/>
      <c r="CG120" s="24"/>
      <c r="CH120" s="24"/>
      <c r="CI120" s="24"/>
      <c r="CJ120" s="24"/>
      <c r="CK120" s="24"/>
      <c r="CL120" s="24"/>
      <c r="CM120" s="24">
        <f>+'[1]SEPTIEMBRE 2016'!$H$223+'[1]SEPTIEMBRE 2016'!$H$225+'[1]SEPTIEMBRE 2016'!$H$232+'[1]SEPTIEMBRE 2016'!$H$234+'[1]SEPTIEMBRE 2016'!$H$236+'[1]SEPTIEMBRE 2016'!$H$237+'[1]SEPTIEMBRE 2016'!$H$238+'[1]SEPTIEMBRE 2016'!$H$239+'[1]SEPTIEMBRE 2016'!$H$240+'[1]SEPTIEMBRE 2016'!$H$241+'[1]SEPTIEMBRE 2016'!$H$245+'[1]SEPTIEMBRE 2016'!$H$247+'[1]SEPTIEMBRE 2016'!$H$249+'[1]SEPTIEMBRE 2016'!$H$251+'[1]SEPTIEMBRE 2016'!$H$253+'[1]SEPTIEMBRE 2016'!$H$255</f>
        <v>85247165</v>
      </c>
      <c r="CN120" s="25">
        <f t="shared" si="125"/>
        <v>0.62639471417437587</v>
      </c>
      <c r="CO120" s="24">
        <f t="shared" si="150"/>
        <v>280485627</v>
      </c>
      <c r="CP120" s="24">
        <f t="shared" si="151"/>
        <v>0</v>
      </c>
      <c r="CQ120" s="24">
        <f t="shared" si="151"/>
        <v>232955024</v>
      </c>
      <c r="CR120" s="24">
        <f t="shared" si="151"/>
        <v>0</v>
      </c>
      <c r="CS120" s="24">
        <f t="shared" si="151"/>
        <v>0</v>
      </c>
      <c r="CT120" s="24">
        <f t="shared" si="151"/>
        <v>0</v>
      </c>
      <c r="CU120" s="24">
        <f t="shared" si="151"/>
        <v>0</v>
      </c>
      <c r="CV120" s="24">
        <f t="shared" si="152"/>
        <v>0</v>
      </c>
      <c r="CW120" s="24">
        <f t="shared" si="152"/>
        <v>0</v>
      </c>
      <c r="CX120" s="24">
        <f t="shared" si="152"/>
        <v>0</v>
      </c>
      <c r="CY120" s="24">
        <f t="shared" si="153"/>
        <v>0</v>
      </c>
      <c r="CZ120" s="24">
        <f t="shared" si="153"/>
        <v>0</v>
      </c>
      <c r="DA120" s="24">
        <f t="shared" si="153"/>
        <v>0</v>
      </c>
      <c r="DB120" s="24">
        <f t="shared" si="154"/>
        <v>0</v>
      </c>
      <c r="DC120" s="24">
        <f t="shared" si="154"/>
        <v>0</v>
      </c>
      <c r="DD120" s="24">
        <f t="shared" si="154"/>
        <v>0</v>
      </c>
      <c r="DE120" s="24"/>
      <c r="DF120" s="24">
        <f t="shared" si="155"/>
        <v>0</v>
      </c>
      <c r="DG120" s="24">
        <f t="shared" si="155"/>
        <v>0</v>
      </c>
      <c r="DH120" s="24">
        <f t="shared" si="155"/>
        <v>47530603</v>
      </c>
      <c r="DJ120" s="77"/>
      <c r="DK120" s="77"/>
      <c r="DL120" s="196">
        <f t="shared" si="104"/>
        <v>447777768</v>
      </c>
      <c r="DM120" s="197">
        <f t="shared" si="105"/>
        <v>167292141</v>
      </c>
      <c r="DN120" s="198">
        <f t="shared" si="72"/>
        <v>0.37360528582562413</v>
      </c>
    </row>
    <row r="121" spans="1:118" ht="91.5" hidden="1" customHeight="1" x14ac:dyDescent="0.25">
      <c r="A121" s="238"/>
      <c r="B121" s="232"/>
      <c r="C121" s="69" t="s">
        <v>337</v>
      </c>
      <c r="D121" s="21" t="s">
        <v>338</v>
      </c>
      <c r="E121" s="94">
        <v>211</v>
      </c>
      <c r="F121" s="23" t="s">
        <v>336</v>
      </c>
      <c r="G121" s="24">
        <f t="shared" si="142"/>
        <v>215639414</v>
      </c>
      <c r="H121" s="33"/>
      <c r="I121" s="24">
        <f>50000000+78446028</f>
        <v>128446028</v>
      </c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>
        <f>47318981+5271083+155508+1089440+2317590+1325109+1257366+1440267+10918006+9000000+7100036</f>
        <v>87193386</v>
      </c>
      <c r="AA121" s="25">
        <f t="shared" si="115"/>
        <v>5.5473940399411399E-2</v>
      </c>
      <c r="AB121" s="24">
        <f t="shared" si="143"/>
        <v>11962368</v>
      </c>
      <c r="AC121" s="24"/>
      <c r="AD121" s="24"/>
      <c r="AE121" s="24"/>
      <c r="AF121" s="24"/>
      <c r="AG121" s="24"/>
      <c r="AH121" s="24"/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>
        <f>+'[5]JULIO 2016'!$G$179</f>
        <v>11962368</v>
      </c>
      <c r="AW121" s="25">
        <f t="shared" si="117"/>
        <v>0.94452605960058855</v>
      </c>
      <c r="AX121" s="24">
        <f t="shared" si="144"/>
        <v>203677046</v>
      </c>
      <c r="AY121" s="24">
        <f t="shared" si="145"/>
        <v>0</v>
      </c>
      <c r="AZ121" s="24">
        <f t="shared" si="145"/>
        <v>128446028</v>
      </c>
      <c r="BA121" s="24">
        <f t="shared" si="145"/>
        <v>0</v>
      </c>
      <c r="BB121" s="24">
        <f t="shared" si="146"/>
        <v>0</v>
      </c>
      <c r="BC121" s="24">
        <f t="shared" si="146"/>
        <v>0</v>
      </c>
      <c r="BD121" s="24">
        <f t="shared" si="146"/>
        <v>0</v>
      </c>
      <c r="BE121" s="24">
        <f t="shared" si="146"/>
        <v>0</v>
      </c>
      <c r="BF121" s="24">
        <f t="shared" si="146"/>
        <v>0</v>
      </c>
      <c r="BG121" s="24">
        <f t="shared" si="146"/>
        <v>0</v>
      </c>
      <c r="BH121" s="24">
        <f t="shared" si="146"/>
        <v>0</v>
      </c>
      <c r="BI121" s="24">
        <f t="shared" si="146"/>
        <v>0</v>
      </c>
      <c r="BJ121" s="24">
        <f t="shared" si="146"/>
        <v>0</v>
      </c>
      <c r="BK121" s="24">
        <f t="shared" si="146"/>
        <v>0</v>
      </c>
      <c r="BL121" s="24">
        <f t="shared" si="146"/>
        <v>0</v>
      </c>
      <c r="BM121" s="24">
        <f t="shared" si="146"/>
        <v>0</v>
      </c>
      <c r="BN121" s="24"/>
      <c r="BO121" s="24"/>
      <c r="BP121" s="24">
        <f t="shared" si="147"/>
        <v>0</v>
      </c>
      <c r="BQ121" s="24">
        <f t="shared" si="148"/>
        <v>75231018</v>
      </c>
      <c r="BR121" s="25">
        <f t="shared" si="123"/>
        <v>5.5347952299666332E-2</v>
      </c>
      <c r="BS121" s="24">
        <f t="shared" si="149"/>
        <v>11935200</v>
      </c>
      <c r="BT121" s="24"/>
      <c r="BU121" s="24"/>
      <c r="BV121" s="24"/>
      <c r="BW121" s="24"/>
      <c r="BX121" s="24"/>
      <c r="BY121" s="24"/>
      <c r="BZ121" s="24"/>
      <c r="CA121" s="24"/>
      <c r="CB121" s="24"/>
      <c r="CC121" s="24"/>
      <c r="CD121" s="24"/>
      <c r="CE121" s="24"/>
      <c r="CF121" s="24"/>
      <c r="CG121" s="24"/>
      <c r="CH121" s="24"/>
      <c r="CI121" s="24"/>
      <c r="CJ121" s="24"/>
      <c r="CK121" s="24"/>
      <c r="CL121" s="24"/>
      <c r="CM121" s="24">
        <f>+'[5]JULIO 2016'!$H$179</f>
        <v>11935200</v>
      </c>
      <c r="CN121" s="25">
        <f t="shared" si="125"/>
        <v>0.94465204770033362</v>
      </c>
      <c r="CO121" s="24">
        <f t="shared" si="150"/>
        <v>203704214</v>
      </c>
      <c r="CP121" s="24">
        <f t="shared" si="151"/>
        <v>0</v>
      </c>
      <c r="CQ121" s="24">
        <f t="shared" si="151"/>
        <v>128446028</v>
      </c>
      <c r="CR121" s="24">
        <f t="shared" si="151"/>
        <v>0</v>
      </c>
      <c r="CS121" s="24">
        <f t="shared" si="151"/>
        <v>0</v>
      </c>
      <c r="CT121" s="24">
        <f t="shared" si="151"/>
        <v>0</v>
      </c>
      <c r="CU121" s="24">
        <f t="shared" si="151"/>
        <v>0</v>
      </c>
      <c r="CV121" s="24">
        <f t="shared" si="152"/>
        <v>0</v>
      </c>
      <c r="CW121" s="24">
        <f t="shared" si="152"/>
        <v>0</v>
      </c>
      <c r="CX121" s="24">
        <f t="shared" si="152"/>
        <v>0</v>
      </c>
      <c r="CY121" s="24">
        <f t="shared" si="153"/>
        <v>0</v>
      </c>
      <c r="CZ121" s="24">
        <f t="shared" si="153"/>
        <v>0</v>
      </c>
      <c r="DA121" s="24">
        <f t="shared" si="153"/>
        <v>0</v>
      </c>
      <c r="DB121" s="24">
        <f t="shared" si="154"/>
        <v>0</v>
      </c>
      <c r="DC121" s="24">
        <f t="shared" si="154"/>
        <v>0</v>
      </c>
      <c r="DD121" s="24">
        <f t="shared" si="154"/>
        <v>0</v>
      </c>
      <c r="DE121" s="24"/>
      <c r="DF121" s="24">
        <f t="shared" si="155"/>
        <v>0</v>
      </c>
      <c r="DG121" s="24">
        <f t="shared" si="155"/>
        <v>0</v>
      </c>
      <c r="DH121" s="24">
        <f t="shared" si="155"/>
        <v>75258186</v>
      </c>
      <c r="DJ121" s="77"/>
      <c r="DK121" s="77"/>
      <c r="DL121" s="196">
        <f t="shared" si="104"/>
        <v>215639414</v>
      </c>
      <c r="DM121" s="197">
        <f t="shared" si="105"/>
        <v>11935200</v>
      </c>
      <c r="DN121" s="198">
        <f t="shared" si="72"/>
        <v>5.5347952299666332E-2</v>
      </c>
    </row>
    <row r="122" spans="1:118" ht="44.25" hidden="1" customHeight="1" x14ac:dyDescent="0.25">
      <c r="A122" s="238"/>
      <c r="B122" s="232"/>
      <c r="C122" s="69" t="s">
        <v>339</v>
      </c>
      <c r="D122" s="21" t="s">
        <v>340</v>
      </c>
      <c r="E122" s="94">
        <v>211</v>
      </c>
      <c r="F122" s="23" t="s">
        <v>341</v>
      </c>
      <c r="G122" s="24">
        <f t="shared" si="142"/>
        <v>11000000</v>
      </c>
      <c r="H122" s="33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>
        <f>3000000+2500000+1000000+2500000+2000000</f>
        <v>11000000</v>
      </c>
      <c r="AA122" s="25">
        <f t="shared" si="115"/>
        <v>0.81807090909090907</v>
      </c>
      <c r="AB122" s="24">
        <f t="shared" si="143"/>
        <v>8998780</v>
      </c>
      <c r="AC122" s="24"/>
      <c r="AD122" s="24"/>
      <c r="AE122" s="24"/>
      <c r="AF122" s="24"/>
      <c r="AG122" s="24"/>
      <c r="AH122" s="24"/>
      <c r="AI122" s="24"/>
      <c r="AJ122" s="24"/>
      <c r="AK122" s="24"/>
      <c r="AL122" s="24"/>
      <c r="AM122" s="24"/>
      <c r="AN122" s="24"/>
      <c r="AO122" s="24"/>
      <c r="AP122" s="24"/>
      <c r="AQ122" s="24"/>
      <c r="AR122" s="24"/>
      <c r="AS122" s="24"/>
      <c r="AT122" s="24"/>
      <c r="AU122" s="24"/>
      <c r="AV122" s="24">
        <f>+'[1]SEPTIEMBRE 2016'!$G$271</f>
        <v>8998780</v>
      </c>
      <c r="AW122" s="25">
        <f t="shared" si="117"/>
        <v>0.18192909090909093</v>
      </c>
      <c r="AX122" s="24">
        <f t="shared" si="144"/>
        <v>2001220</v>
      </c>
      <c r="AY122" s="24">
        <f t="shared" si="145"/>
        <v>0</v>
      </c>
      <c r="AZ122" s="24">
        <f t="shared" si="145"/>
        <v>0</v>
      </c>
      <c r="BA122" s="24">
        <f t="shared" si="145"/>
        <v>0</v>
      </c>
      <c r="BB122" s="24">
        <f t="shared" si="146"/>
        <v>0</v>
      </c>
      <c r="BC122" s="24">
        <f t="shared" si="146"/>
        <v>0</v>
      </c>
      <c r="BD122" s="24">
        <f t="shared" si="146"/>
        <v>0</v>
      </c>
      <c r="BE122" s="24">
        <f t="shared" si="146"/>
        <v>0</v>
      </c>
      <c r="BF122" s="24">
        <f t="shared" si="146"/>
        <v>0</v>
      </c>
      <c r="BG122" s="24">
        <f t="shared" si="146"/>
        <v>0</v>
      </c>
      <c r="BH122" s="24">
        <f t="shared" si="146"/>
        <v>0</v>
      </c>
      <c r="BI122" s="24">
        <f t="shared" si="146"/>
        <v>0</v>
      </c>
      <c r="BJ122" s="24">
        <f t="shared" si="146"/>
        <v>0</v>
      </c>
      <c r="BK122" s="24">
        <f t="shared" si="146"/>
        <v>0</v>
      </c>
      <c r="BL122" s="24">
        <f t="shared" si="146"/>
        <v>0</v>
      </c>
      <c r="BM122" s="24">
        <f t="shared" si="146"/>
        <v>0</v>
      </c>
      <c r="BN122" s="24"/>
      <c r="BO122" s="24"/>
      <c r="BP122" s="24">
        <f t="shared" si="147"/>
        <v>0</v>
      </c>
      <c r="BQ122" s="24">
        <f t="shared" si="148"/>
        <v>2001220</v>
      </c>
      <c r="BR122" s="25">
        <f t="shared" si="123"/>
        <v>0.81634527272727275</v>
      </c>
      <c r="BS122" s="24">
        <f t="shared" si="149"/>
        <v>8979798</v>
      </c>
      <c r="BT122" s="24"/>
      <c r="BU122" s="24"/>
      <c r="BV122" s="24"/>
      <c r="BW122" s="24"/>
      <c r="BX122" s="24"/>
      <c r="BY122" s="24"/>
      <c r="BZ122" s="24"/>
      <c r="CA122" s="24"/>
      <c r="CB122" s="24"/>
      <c r="CC122" s="24"/>
      <c r="CD122" s="24"/>
      <c r="CE122" s="24"/>
      <c r="CF122" s="24"/>
      <c r="CG122" s="24"/>
      <c r="CH122" s="24"/>
      <c r="CI122" s="24"/>
      <c r="CJ122" s="24"/>
      <c r="CK122" s="24"/>
      <c r="CL122" s="24"/>
      <c r="CM122" s="24">
        <f>+'[1]SEPTIEMBRE 2016'!$H$271</f>
        <v>8979798</v>
      </c>
      <c r="CN122" s="25">
        <f t="shared" si="125"/>
        <v>0.18365472727272725</v>
      </c>
      <c r="CO122" s="24">
        <f t="shared" si="150"/>
        <v>2020202</v>
      </c>
      <c r="CP122" s="24">
        <f t="shared" si="151"/>
        <v>0</v>
      </c>
      <c r="CQ122" s="24">
        <f t="shared" si="151"/>
        <v>0</v>
      </c>
      <c r="CR122" s="24">
        <f t="shared" si="151"/>
        <v>0</v>
      </c>
      <c r="CS122" s="24">
        <f t="shared" si="151"/>
        <v>0</v>
      </c>
      <c r="CT122" s="24">
        <f t="shared" si="151"/>
        <v>0</v>
      </c>
      <c r="CU122" s="24">
        <f t="shared" si="151"/>
        <v>0</v>
      </c>
      <c r="CV122" s="24">
        <f t="shared" si="152"/>
        <v>0</v>
      </c>
      <c r="CW122" s="24">
        <f t="shared" si="152"/>
        <v>0</v>
      </c>
      <c r="CX122" s="24">
        <f t="shared" si="152"/>
        <v>0</v>
      </c>
      <c r="CY122" s="24">
        <f t="shared" si="153"/>
        <v>0</v>
      </c>
      <c r="CZ122" s="24">
        <f t="shared" si="153"/>
        <v>0</v>
      </c>
      <c r="DA122" s="24">
        <f t="shared" si="153"/>
        <v>0</v>
      </c>
      <c r="DB122" s="24">
        <f t="shared" si="154"/>
        <v>0</v>
      </c>
      <c r="DC122" s="24">
        <f t="shared" si="154"/>
        <v>0</v>
      </c>
      <c r="DD122" s="24">
        <f t="shared" si="154"/>
        <v>0</v>
      </c>
      <c r="DE122" s="24"/>
      <c r="DF122" s="24">
        <f t="shared" si="155"/>
        <v>0</v>
      </c>
      <c r="DG122" s="24">
        <f t="shared" si="155"/>
        <v>0</v>
      </c>
      <c r="DH122" s="24">
        <f t="shared" si="155"/>
        <v>2020202</v>
      </c>
      <c r="DJ122" s="77"/>
      <c r="DK122" s="77"/>
      <c r="DL122" s="196">
        <f t="shared" si="104"/>
        <v>11000000</v>
      </c>
      <c r="DM122" s="197">
        <f t="shared" si="105"/>
        <v>8979798</v>
      </c>
      <c r="DN122" s="198">
        <f t="shared" ref="DN122:DN128" si="156">+BR122</f>
        <v>0.81634527272727275</v>
      </c>
    </row>
    <row r="123" spans="1:118" ht="27.75" hidden="1" customHeight="1" x14ac:dyDescent="0.25">
      <c r="A123" s="238"/>
      <c r="B123" s="232"/>
      <c r="C123" s="69" t="s">
        <v>342</v>
      </c>
      <c r="D123" s="21" t="s">
        <v>343</v>
      </c>
      <c r="E123" s="94">
        <v>211</v>
      </c>
      <c r="F123" s="23" t="s">
        <v>76</v>
      </c>
      <c r="G123" s="24">
        <f t="shared" si="142"/>
        <v>5846336</v>
      </c>
      <c r="H123" s="33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>
        <f>5000000+846336</f>
        <v>5846336</v>
      </c>
      <c r="AA123" s="25">
        <f t="shared" si="115"/>
        <v>0.72683899796385287</v>
      </c>
      <c r="AB123" s="24">
        <f t="shared" si="143"/>
        <v>4249345</v>
      </c>
      <c r="AC123" s="24"/>
      <c r="AD123" s="24"/>
      <c r="AE123" s="24"/>
      <c r="AF123" s="24"/>
      <c r="AG123" s="24"/>
      <c r="AH123" s="24"/>
      <c r="AI123" s="24"/>
      <c r="AJ123" s="24"/>
      <c r="AK123" s="24"/>
      <c r="AL123" s="24"/>
      <c r="AM123" s="24"/>
      <c r="AN123" s="24"/>
      <c r="AO123" s="24"/>
      <c r="AP123" s="24"/>
      <c r="AQ123" s="24"/>
      <c r="AR123" s="24"/>
      <c r="AS123" s="24"/>
      <c r="AT123" s="24"/>
      <c r="AU123" s="24"/>
      <c r="AV123" s="24">
        <f>+'[1]SEPTIEMBRE 2016'!$G$284</f>
        <v>4249345</v>
      </c>
      <c r="AW123" s="25">
        <f t="shared" si="117"/>
        <v>0.27316100203614713</v>
      </c>
      <c r="AX123" s="24">
        <f t="shared" si="144"/>
        <v>1596991</v>
      </c>
      <c r="AY123" s="24">
        <f t="shared" si="145"/>
        <v>0</v>
      </c>
      <c r="AZ123" s="24">
        <f t="shared" si="145"/>
        <v>0</v>
      </c>
      <c r="BA123" s="24">
        <f t="shared" si="145"/>
        <v>0</v>
      </c>
      <c r="BB123" s="24">
        <f t="shared" si="146"/>
        <v>0</v>
      </c>
      <c r="BC123" s="24">
        <f t="shared" si="146"/>
        <v>0</v>
      </c>
      <c r="BD123" s="24">
        <f t="shared" si="146"/>
        <v>0</v>
      </c>
      <c r="BE123" s="24">
        <f t="shared" si="146"/>
        <v>0</v>
      </c>
      <c r="BF123" s="24">
        <f t="shared" si="146"/>
        <v>0</v>
      </c>
      <c r="BG123" s="24">
        <f t="shared" si="146"/>
        <v>0</v>
      </c>
      <c r="BH123" s="24">
        <f t="shared" si="146"/>
        <v>0</v>
      </c>
      <c r="BI123" s="24">
        <f t="shared" si="146"/>
        <v>0</v>
      </c>
      <c r="BJ123" s="24">
        <f t="shared" si="146"/>
        <v>0</v>
      </c>
      <c r="BK123" s="24">
        <f t="shared" si="146"/>
        <v>0</v>
      </c>
      <c r="BL123" s="24">
        <f t="shared" si="146"/>
        <v>0</v>
      </c>
      <c r="BM123" s="24">
        <f t="shared" si="146"/>
        <v>0</v>
      </c>
      <c r="BN123" s="24"/>
      <c r="BO123" s="24"/>
      <c r="BP123" s="24">
        <f t="shared" si="147"/>
        <v>0</v>
      </c>
      <c r="BQ123" s="24">
        <f t="shared" si="148"/>
        <v>1596991</v>
      </c>
      <c r="BR123" s="25">
        <f t="shared" si="123"/>
        <v>0.72683899796385287</v>
      </c>
      <c r="BS123" s="24">
        <f t="shared" si="149"/>
        <v>4249345</v>
      </c>
      <c r="BT123" s="24"/>
      <c r="BU123" s="24"/>
      <c r="BV123" s="24"/>
      <c r="BW123" s="24"/>
      <c r="BX123" s="24"/>
      <c r="BY123" s="24"/>
      <c r="BZ123" s="24"/>
      <c r="CA123" s="24"/>
      <c r="CB123" s="24"/>
      <c r="CC123" s="24"/>
      <c r="CD123" s="24"/>
      <c r="CE123" s="24"/>
      <c r="CF123" s="24"/>
      <c r="CG123" s="24"/>
      <c r="CH123" s="24"/>
      <c r="CI123" s="24"/>
      <c r="CJ123" s="24"/>
      <c r="CK123" s="24"/>
      <c r="CL123" s="24"/>
      <c r="CM123" s="24">
        <f>+'[1]SEPTIEMBRE 2016'!$H$284</f>
        <v>4249345</v>
      </c>
      <c r="CN123" s="25">
        <f t="shared" si="125"/>
        <v>0.27316100203614713</v>
      </c>
      <c r="CO123" s="24">
        <f t="shared" si="150"/>
        <v>1596991</v>
      </c>
      <c r="CP123" s="24">
        <f t="shared" si="151"/>
        <v>0</v>
      </c>
      <c r="CQ123" s="24">
        <f t="shared" si="151"/>
        <v>0</v>
      </c>
      <c r="CR123" s="24">
        <f t="shared" si="151"/>
        <v>0</v>
      </c>
      <c r="CS123" s="24">
        <f t="shared" si="151"/>
        <v>0</v>
      </c>
      <c r="CT123" s="24">
        <f t="shared" si="151"/>
        <v>0</v>
      </c>
      <c r="CU123" s="24">
        <f t="shared" si="151"/>
        <v>0</v>
      </c>
      <c r="CV123" s="24">
        <f t="shared" si="152"/>
        <v>0</v>
      </c>
      <c r="CW123" s="24">
        <f t="shared" si="152"/>
        <v>0</v>
      </c>
      <c r="CX123" s="24">
        <f t="shared" si="152"/>
        <v>0</v>
      </c>
      <c r="CY123" s="24">
        <f t="shared" si="153"/>
        <v>0</v>
      </c>
      <c r="CZ123" s="24">
        <f t="shared" si="153"/>
        <v>0</v>
      </c>
      <c r="DA123" s="24">
        <f t="shared" si="153"/>
        <v>0</v>
      </c>
      <c r="DB123" s="24">
        <f t="shared" si="154"/>
        <v>0</v>
      </c>
      <c r="DC123" s="24">
        <f t="shared" si="154"/>
        <v>0</v>
      </c>
      <c r="DD123" s="24">
        <f t="shared" si="154"/>
        <v>0</v>
      </c>
      <c r="DE123" s="24"/>
      <c r="DF123" s="24">
        <f t="shared" si="155"/>
        <v>0</v>
      </c>
      <c r="DG123" s="24">
        <f t="shared" si="155"/>
        <v>0</v>
      </c>
      <c r="DH123" s="24">
        <f t="shared" si="155"/>
        <v>1596991</v>
      </c>
      <c r="DJ123" s="77"/>
      <c r="DK123" s="77"/>
      <c r="DL123" s="196">
        <f t="shared" si="104"/>
        <v>5846336</v>
      </c>
      <c r="DM123" s="197">
        <f t="shared" si="105"/>
        <v>4249345</v>
      </c>
      <c r="DN123" s="198">
        <f t="shared" si="156"/>
        <v>0.72683899796385287</v>
      </c>
    </row>
    <row r="124" spans="1:118" s="58" customFormat="1" ht="29.25" hidden="1" customHeight="1" x14ac:dyDescent="0.25">
      <c r="A124" s="238"/>
      <c r="B124" s="232"/>
      <c r="C124" s="55" t="s">
        <v>344</v>
      </c>
      <c r="D124" s="21" t="s">
        <v>345</v>
      </c>
      <c r="E124" s="89">
        <v>211</v>
      </c>
      <c r="F124" s="23" t="s">
        <v>324</v>
      </c>
      <c r="G124" s="24">
        <f t="shared" si="142"/>
        <v>256213729</v>
      </c>
      <c r="H124" s="28"/>
      <c r="I124" s="54">
        <f>296464791+28735209-68986271</f>
        <v>256213729</v>
      </c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>
        <f>28735209-28735209</f>
        <v>0</v>
      </c>
      <c r="V124" s="24"/>
      <c r="W124" s="24"/>
      <c r="X124" s="24"/>
      <c r="Y124" s="24"/>
      <c r="Z124" s="24"/>
      <c r="AA124" s="57">
        <f t="shared" si="115"/>
        <v>0.97989803270846587</v>
      </c>
      <c r="AB124" s="24">
        <f t="shared" si="143"/>
        <v>251063329</v>
      </c>
      <c r="AC124" s="54"/>
      <c r="AD124" s="54"/>
      <c r="AE124" s="54">
        <f>+'[1]SEPTIEMBRE 2016'!$M$296</f>
        <v>251063329</v>
      </c>
      <c r="AF124" s="54"/>
      <c r="AG124" s="54"/>
      <c r="AH124" s="54"/>
      <c r="AI124" s="54"/>
      <c r="AJ124" s="54"/>
      <c r="AK124" s="54"/>
      <c r="AL124" s="54"/>
      <c r="AM124" s="54"/>
      <c r="AN124" s="54"/>
      <c r="AO124" s="54"/>
      <c r="AP124" s="54"/>
      <c r="AQ124" s="54"/>
      <c r="AR124" s="54"/>
      <c r="AS124" s="54"/>
      <c r="AT124" s="54"/>
      <c r="AU124" s="54"/>
      <c r="AV124" s="54"/>
      <c r="AW124" s="57">
        <f t="shared" si="117"/>
        <v>2.0101967291534129E-2</v>
      </c>
      <c r="AX124" s="24">
        <f t="shared" si="144"/>
        <v>5150400</v>
      </c>
      <c r="AY124" s="54">
        <f t="shared" si="145"/>
        <v>0</v>
      </c>
      <c r="AZ124" s="54">
        <f t="shared" si="145"/>
        <v>5150400</v>
      </c>
      <c r="BA124" s="54">
        <f t="shared" si="145"/>
        <v>0</v>
      </c>
      <c r="BB124" s="54">
        <f t="shared" si="146"/>
        <v>0</v>
      </c>
      <c r="BC124" s="54">
        <f t="shared" si="146"/>
        <v>0</v>
      </c>
      <c r="BD124" s="24">
        <f t="shared" si="146"/>
        <v>0</v>
      </c>
      <c r="BE124" s="54">
        <f t="shared" si="146"/>
        <v>0</v>
      </c>
      <c r="BF124" s="54">
        <f t="shared" si="146"/>
        <v>0</v>
      </c>
      <c r="BG124" s="54">
        <f t="shared" si="146"/>
        <v>0</v>
      </c>
      <c r="BH124" s="54">
        <f t="shared" si="146"/>
        <v>0</v>
      </c>
      <c r="BI124" s="54">
        <f t="shared" si="146"/>
        <v>0</v>
      </c>
      <c r="BJ124" s="54">
        <f t="shared" si="146"/>
        <v>0</v>
      </c>
      <c r="BK124" s="54">
        <f t="shared" si="146"/>
        <v>0</v>
      </c>
      <c r="BL124" s="54">
        <f t="shared" si="146"/>
        <v>0</v>
      </c>
      <c r="BM124" s="54">
        <f t="shared" si="146"/>
        <v>0</v>
      </c>
      <c r="BN124" s="54"/>
      <c r="BO124" s="54"/>
      <c r="BP124" s="24">
        <f t="shared" si="147"/>
        <v>0</v>
      </c>
      <c r="BQ124" s="54">
        <f t="shared" si="148"/>
        <v>0</v>
      </c>
      <c r="BR124" s="57">
        <f t="shared" si="123"/>
        <v>0.97989803270846587</v>
      </c>
      <c r="BS124" s="24">
        <f t="shared" si="149"/>
        <v>251063329</v>
      </c>
      <c r="BT124" s="54"/>
      <c r="BU124" s="54"/>
      <c r="BV124" s="54">
        <f>+'[1]SEPTIEMBRE 2016'!$H$294</f>
        <v>251063329</v>
      </c>
      <c r="BW124" s="54"/>
      <c r="BX124" s="54"/>
      <c r="BY124" s="54"/>
      <c r="BZ124" s="54"/>
      <c r="CA124" s="54"/>
      <c r="CB124" s="54"/>
      <c r="CC124" s="54"/>
      <c r="CD124" s="54"/>
      <c r="CE124" s="54"/>
      <c r="CF124" s="54"/>
      <c r="CG124" s="54"/>
      <c r="CH124" s="54"/>
      <c r="CI124" s="54"/>
      <c r="CJ124" s="54"/>
      <c r="CK124" s="54"/>
      <c r="CL124" s="54"/>
      <c r="CM124" s="54"/>
      <c r="CN124" s="57">
        <f t="shared" si="125"/>
        <v>2.0101967291534129E-2</v>
      </c>
      <c r="CO124" s="24">
        <f t="shared" si="150"/>
        <v>5150400</v>
      </c>
      <c r="CP124" s="24">
        <f t="shared" si="151"/>
        <v>0</v>
      </c>
      <c r="CQ124" s="54">
        <f t="shared" si="151"/>
        <v>5150400</v>
      </c>
      <c r="CR124" s="54">
        <f t="shared" si="151"/>
        <v>0</v>
      </c>
      <c r="CS124" s="54">
        <f t="shared" si="151"/>
        <v>0</v>
      </c>
      <c r="CT124" s="54">
        <f t="shared" si="151"/>
        <v>0</v>
      </c>
      <c r="CU124" s="24">
        <f t="shared" si="151"/>
        <v>0</v>
      </c>
      <c r="CV124" s="54">
        <f t="shared" si="152"/>
        <v>0</v>
      </c>
      <c r="CW124" s="54">
        <f t="shared" si="152"/>
        <v>0</v>
      </c>
      <c r="CX124" s="24">
        <f t="shared" si="152"/>
        <v>0</v>
      </c>
      <c r="CY124" s="54">
        <f t="shared" si="153"/>
        <v>0</v>
      </c>
      <c r="CZ124" s="54">
        <f t="shared" si="153"/>
        <v>0</v>
      </c>
      <c r="DA124" s="54">
        <f t="shared" si="153"/>
        <v>0</v>
      </c>
      <c r="DB124" s="54">
        <f t="shared" si="154"/>
        <v>0</v>
      </c>
      <c r="DC124" s="54">
        <f t="shared" si="154"/>
        <v>0</v>
      </c>
      <c r="DD124" s="54">
        <f t="shared" si="154"/>
        <v>0</v>
      </c>
      <c r="DE124" s="54"/>
      <c r="DF124" s="54">
        <f t="shared" si="155"/>
        <v>0</v>
      </c>
      <c r="DG124" s="54">
        <f t="shared" si="155"/>
        <v>0</v>
      </c>
      <c r="DH124" s="54">
        <f t="shared" si="155"/>
        <v>0</v>
      </c>
      <c r="DJ124" s="77"/>
      <c r="DK124" s="77"/>
      <c r="DL124" s="196">
        <f t="shared" si="104"/>
        <v>256213729</v>
      </c>
      <c r="DM124" s="197">
        <f t="shared" si="105"/>
        <v>251063329</v>
      </c>
      <c r="DN124" s="198">
        <f t="shared" si="156"/>
        <v>0.97989803270846587</v>
      </c>
    </row>
    <row r="125" spans="1:118" s="58" customFormat="1" ht="28.5" hidden="1" customHeight="1" x14ac:dyDescent="0.25">
      <c r="A125" s="238"/>
      <c r="B125" s="233"/>
      <c r="C125" s="55" t="s">
        <v>346</v>
      </c>
      <c r="D125" s="21" t="s">
        <v>347</v>
      </c>
      <c r="E125" s="89">
        <v>211</v>
      </c>
      <c r="F125" s="23" t="s">
        <v>324</v>
      </c>
      <c r="G125" s="24">
        <f t="shared" si="142"/>
        <v>250000000</v>
      </c>
      <c r="H125" s="28"/>
      <c r="I125" s="54"/>
      <c r="J125" s="24"/>
      <c r="K125" s="24"/>
      <c r="L125" s="24"/>
      <c r="M125" s="24"/>
      <c r="N125" s="24"/>
      <c r="O125" s="24"/>
      <c r="P125" s="24"/>
      <c r="Q125" s="24"/>
      <c r="R125" s="24"/>
      <c r="S125" s="24">
        <v>250000000</v>
      </c>
      <c r="T125" s="24"/>
      <c r="U125" s="24"/>
      <c r="V125" s="24"/>
      <c r="W125" s="24"/>
      <c r="X125" s="24"/>
      <c r="Y125" s="24"/>
      <c r="Z125" s="24"/>
      <c r="AA125" s="57">
        <f t="shared" si="115"/>
        <v>1</v>
      </c>
      <c r="AB125" s="24">
        <f t="shared" si="143"/>
        <v>250000000</v>
      </c>
      <c r="AC125" s="54"/>
      <c r="AD125" s="54"/>
      <c r="AE125" s="54"/>
      <c r="AF125" s="54"/>
      <c r="AG125" s="54"/>
      <c r="AH125" s="54"/>
      <c r="AI125" s="54"/>
      <c r="AJ125" s="54"/>
      <c r="AK125" s="54"/>
      <c r="AL125" s="54"/>
      <c r="AM125" s="54"/>
      <c r="AN125" s="54"/>
      <c r="AO125" s="54">
        <f>+'[6]JUNIO 2016'!$W$197</f>
        <v>250000000</v>
      </c>
      <c r="AP125" s="54"/>
      <c r="AQ125" s="54"/>
      <c r="AR125" s="54"/>
      <c r="AS125" s="54"/>
      <c r="AT125" s="54"/>
      <c r="AU125" s="54"/>
      <c r="AV125" s="54"/>
      <c r="AW125" s="57">
        <f t="shared" si="117"/>
        <v>0</v>
      </c>
      <c r="AX125" s="24">
        <f t="shared" si="144"/>
        <v>0</v>
      </c>
      <c r="AY125" s="54">
        <f t="shared" si="145"/>
        <v>0</v>
      </c>
      <c r="AZ125" s="54">
        <f t="shared" si="145"/>
        <v>0</v>
      </c>
      <c r="BA125" s="54">
        <f t="shared" si="145"/>
        <v>0</v>
      </c>
      <c r="BB125" s="54">
        <f t="shared" si="145"/>
        <v>0</v>
      </c>
      <c r="BC125" s="54">
        <f t="shared" si="145"/>
        <v>0</v>
      </c>
      <c r="BD125" s="54">
        <f t="shared" si="145"/>
        <v>0</v>
      </c>
      <c r="BE125" s="54">
        <f t="shared" si="145"/>
        <v>0</v>
      </c>
      <c r="BF125" s="54">
        <f t="shared" si="145"/>
        <v>0</v>
      </c>
      <c r="BG125" s="54">
        <f t="shared" si="145"/>
        <v>0</v>
      </c>
      <c r="BH125" s="54">
        <f t="shared" si="145"/>
        <v>0</v>
      </c>
      <c r="BI125" s="54">
        <f t="shared" si="145"/>
        <v>0</v>
      </c>
      <c r="BJ125" s="54">
        <f t="shared" si="145"/>
        <v>0</v>
      </c>
      <c r="BK125" s="54">
        <f t="shared" si="145"/>
        <v>0</v>
      </c>
      <c r="BL125" s="54">
        <f t="shared" si="145"/>
        <v>0</v>
      </c>
      <c r="BM125" s="54">
        <f t="shared" si="145"/>
        <v>0</v>
      </c>
      <c r="BN125" s="54"/>
      <c r="BO125" s="54">
        <f>X125-AT125</f>
        <v>0</v>
      </c>
      <c r="BP125" s="24">
        <f t="shared" si="147"/>
        <v>0</v>
      </c>
      <c r="BQ125" s="54">
        <f>Z125-AV125</f>
        <v>0</v>
      </c>
      <c r="BR125" s="57">
        <f t="shared" si="123"/>
        <v>0.99872130800000003</v>
      </c>
      <c r="BS125" s="24">
        <f t="shared" si="149"/>
        <v>249680327</v>
      </c>
      <c r="BT125" s="54"/>
      <c r="BU125" s="54"/>
      <c r="BV125" s="54"/>
      <c r="BW125" s="54"/>
      <c r="BX125" s="54"/>
      <c r="BY125" s="54"/>
      <c r="BZ125" s="54"/>
      <c r="CA125" s="54"/>
      <c r="CB125" s="54"/>
      <c r="CC125" s="54"/>
      <c r="CD125" s="54"/>
      <c r="CE125" s="54"/>
      <c r="CF125" s="54">
        <f>+'[5]JULIO 2016'!$H$221</f>
        <v>249680327</v>
      </c>
      <c r="CG125" s="54"/>
      <c r="CH125" s="54"/>
      <c r="CI125" s="54"/>
      <c r="CJ125" s="54"/>
      <c r="CK125" s="54"/>
      <c r="CL125" s="54"/>
      <c r="CM125" s="54"/>
      <c r="CN125" s="57">
        <f t="shared" si="125"/>
        <v>1.2786919999999702E-3</v>
      </c>
      <c r="CO125" s="24">
        <f t="shared" si="150"/>
        <v>319673</v>
      </c>
      <c r="CP125" s="24">
        <f t="shared" si="151"/>
        <v>0</v>
      </c>
      <c r="CQ125" s="24">
        <f t="shared" si="151"/>
        <v>0</v>
      </c>
      <c r="CR125" s="24">
        <f t="shared" si="151"/>
        <v>0</v>
      </c>
      <c r="CS125" s="24">
        <f t="shared" si="151"/>
        <v>0</v>
      </c>
      <c r="CT125" s="24">
        <f t="shared" si="151"/>
        <v>0</v>
      </c>
      <c r="CU125" s="24">
        <f t="shared" si="151"/>
        <v>0</v>
      </c>
      <c r="CV125" s="24">
        <f>N125-CA125</f>
        <v>0</v>
      </c>
      <c r="CW125" s="24">
        <f>O125-CB125</f>
        <v>0</v>
      </c>
      <c r="CX125" s="24">
        <f>P125-CC125</f>
        <v>0</v>
      </c>
      <c r="CY125" s="24">
        <f t="shared" si="153"/>
        <v>0</v>
      </c>
      <c r="CZ125" s="24">
        <f t="shared" si="153"/>
        <v>0</v>
      </c>
      <c r="DA125" s="24">
        <f t="shared" si="153"/>
        <v>319673</v>
      </c>
      <c r="DB125" s="24">
        <f>T125-CG125</f>
        <v>0</v>
      </c>
      <c r="DC125" s="24">
        <f>U125-CH125</f>
        <v>0</v>
      </c>
      <c r="DD125" s="24">
        <f>V125-CI125</f>
        <v>0</v>
      </c>
      <c r="DE125" s="24"/>
      <c r="DF125" s="24">
        <f>X125-CK125</f>
        <v>0</v>
      </c>
      <c r="DG125" s="24">
        <f>Y125-CL125</f>
        <v>0</v>
      </c>
      <c r="DH125" s="24">
        <f>Z125-CM125</f>
        <v>0</v>
      </c>
      <c r="DJ125" s="77"/>
      <c r="DK125" s="77"/>
      <c r="DL125" s="196">
        <f t="shared" si="104"/>
        <v>250000000</v>
      </c>
      <c r="DM125" s="197">
        <f t="shared" si="105"/>
        <v>249680327</v>
      </c>
      <c r="DN125" s="198">
        <f t="shared" si="156"/>
        <v>0.99872130800000003</v>
      </c>
    </row>
    <row r="126" spans="1:118" s="58" customFormat="1" ht="50.25" hidden="1" customHeight="1" x14ac:dyDescent="0.25">
      <c r="A126" s="96"/>
      <c r="B126" s="21" t="s">
        <v>348</v>
      </c>
      <c r="C126" s="55" t="s">
        <v>349</v>
      </c>
      <c r="D126" s="21" t="s">
        <v>350</v>
      </c>
      <c r="E126" s="89" t="s">
        <v>351</v>
      </c>
      <c r="F126" s="23" t="s">
        <v>324</v>
      </c>
      <c r="G126" s="24">
        <f t="shared" si="142"/>
        <v>3185000000</v>
      </c>
      <c r="H126" s="28"/>
      <c r="I126" s="5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>
        <f>485000000</f>
        <v>485000000</v>
      </c>
      <c r="U126" s="24"/>
      <c r="V126" s="24"/>
      <c r="W126" s="24"/>
      <c r="X126" s="24">
        <v>2700000000</v>
      </c>
      <c r="Y126" s="24"/>
      <c r="Z126" s="24"/>
      <c r="AA126" s="57">
        <f t="shared" si="115"/>
        <v>0.89515172433281009</v>
      </c>
      <c r="AB126" s="24">
        <f t="shared" si="143"/>
        <v>2851058242</v>
      </c>
      <c r="AC126" s="54"/>
      <c r="AD126" s="54"/>
      <c r="AE126" s="54"/>
      <c r="AF126" s="54"/>
      <c r="AG126" s="54"/>
      <c r="AH126" s="54"/>
      <c r="AI126" s="54"/>
      <c r="AJ126" s="54"/>
      <c r="AK126" s="54"/>
      <c r="AL126" s="54"/>
      <c r="AM126" s="54"/>
      <c r="AN126" s="54"/>
      <c r="AO126" s="54"/>
      <c r="AP126" s="54">
        <f>+'[1]SEPTIEMBRE 2016'!$X$3643</f>
        <v>451915027</v>
      </c>
      <c r="AQ126" s="54"/>
      <c r="AR126" s="54"/>
      <c r="AS126" s="54"/>
      <c r="AT126" s="54">
        <f>+'[1]SEPTIEMBRE 2016'!$AB$3643</f>
        <v>2399143215</v>
      </c>
      <c r="AU126" s="54"/>
      <c r="AV126" s="54"/>
      <c r="AW126" s="57">
        <f t="shared" si="117"/>
        <v>0.10484827566718991</v>
      </c>
      <c r="AX126" s="24">
        <f t="shared" si="144"/>
        <v>333941758</v>
      </c>
      <c r="AY126" s="54"/>
      <c r="AZ126" s="54"/>
      <c r="BA126" s="54"/>
      <c r="BB126" s="54"/>
      <c r="BC126" s="54"/>
      <c r="BD126" s="54"/>
      <c r="BE126" s="54"/>
      <c r="BF126" s="54"/>
      <c r="BG126" s="54"/>
      <c r="BH126" s="54"/>
      <c r="BI126" s="54"/>
      <c r="BJ126" s="54"/>
      <c r="BK126" s="54">
        <f>T126-AP126</f>
        <v>33084973</v>
      </c>
      <c r="BL126" s="54"/>
      <c r="BM126" s="54"/>
      <c r="BN126" s="54"/>
      <c r="BO126" s="54">
        <f>X126-AT126</f>
        <v>300856785</v>
      </c>
      <c r="BP126" s="24"/>
      <c r="BQ126" s="54"/>
      <c r="BR126" s="57">
        <f t="shared" si="123"/>
        <v>0.27659845714285713</v>
      </c>
      <c r="BS126" s="24">
        <f t="shared" si="149"/>
        <v>880966086</v>
      </c>
      <c r="BT126" s="54"/>
      <c r="BU126" s="54"/>
      <c r="BV126" s="54"/>
      <c r="BW126" s="54"/>
      <c r="BX126" s="54"/>
      <c r="BY126" s="54"/>
      <c r="BZ126" s="54"/>
      <c r="CA126" s="54"/>
      <c r="CB126" s="54"/>
      <c r="CC126" s="54"/>
      <c r="CD126" s="54"/>
      <c r="CE126" s="54"/>
      <c r="CF126" s="54"/>
      <c r="CG126" s="54">
        <f>+'[1]SEPTIEMBRE 2016'!$H$3653</f>
        <v>451915027</v>
      </c>
      <c r="CH126" s="54"/>
      <c r="CI126" s="54"/>
      <c r="CJ126" s="54"/>
      <c r="CK126" s="54">
        <f>+'[4]AGOSTO 2016'!$H$3113</f>
        <v>429051059</v>
      </c>
      <c r="CL126" s="54"/>
      <c r="CM126" s="54"/>
      <c r="CN126" s="57">
        <f t="shared" si="125"/>
        <v>0.72340154285714287</v>
      </c>
      <c r="CO126" s="24">
        <f t="shared" si="150"/>
        <v>2304033914</v>
      </c>
      <c r="CP126" s="24"/>
      <c r="CQ126" s="24"/>
      <c r="CR126" s="24"/>
      <c r="CS126" s="24"/>
      <c r="CT126" s="24"/>
      <c r="CU126" s="24"/>
      <c r="CV126" s="24"/>
      <c r="CW126" s="24"/>
      <c r="CX126" s="24"/>
      <c r="CY126" s="24"/>
      <c r="CZ126" s="24"/>
      <c r="DA126" s="24"/>
      <c r="DB126" s="24">
        <f>T126-CG126</f>
        <v>33084973</v>
      </c>
      <c r="DC126" s="24"/>
      <c r="DD126" s="24"/>
      <c r="DE126" s="24"/>
      <c r="DF126" s="24">
        <f>X126-CK126</f>
        <v>2270948941</v>
      </c>
      <c r="DG126" s="24"/>
      <c r="DH126" s="24"/>
      <c r="DJ126" s="77"/>
      <c r="DK126" s="77"/>
      <c r="DL126" s="196">
        <f t="shared" si="104"/>
        <v>3185000000</v>
      </c>
      <c r="DM126" s="197">
        <f t="shared" si="105"/>
        <v>880966086</v>
      </c>
      <c r="DN126" s="198">
        <f t="shared" si="156"/>
        <v>0.27659845714285713</v>
      </c>
    </row>
    <row r="127" spans="1:118" ht="33.75" hidden="1" customHeight="1" x14ac:dyDescent="0.25">
      <c r="A127" s="238" t="s">
        <v>314</v>
      </c>
      <c r="B127" s="231" t="s">
        <v>352</v>
      </c>
      <c r="C127" s="69" t="s">
        <v>353</v>
      </c>
      <c r="D127" s="21" t="s">
        <v>354</v>
      </c>
      <c r="E127" s="94">
        <v>510</v>
      </c>
      <c r="F127" s="23" t="s">
        <v>355</v>
      </c>
      <c r="G127" s="24">
        <f t="shared" si="142"/>
        <v>97488992</v>
      </c>
      <c r="H127" s="24"/>
      <c r="I127" s="24"/>
      <c r="J127" s="24"/>
      <c r="K127" s="24">
        <f>95000000-3511008</f>
        <v>91488992</v>
      </c>
      <c r="L127" s="24"/>
      <c r="M127" s="24"/>
      <c r="N127" s="24"/>
      <c r="O127" s="24"/>
      <c r="P127" s="24"/>
      <c r="Q127" s="24"/>
      <c r="R127" s="24"/>
      <c r="S127" s="24"/>
      <c r="T127" s="24"/>
      <c r="U127" s="24">
        <v>6000000</v>
      </c>
      <c r="V127" s="24"/>
      <c r="W127" s="24"/>
      <c r="X127" s="24"/>
      <c r="Y127" s="24"/>
      <c r="Z127" s="24"/>
      <c r="AA127" s="25">
        <f t="shared" si="115"/>
        <v>0.8664362844166037</v>
      </c>
      <c r="AB127" s="24">
        <f t="shared" si="143"/>
        <v>84468000</v>
      </c>
      <c r="AC127" s="24"/>
      <c r="AD127" s="24"/>
      <c r="AE127" s="24"/>
      <c r="AF127" s="24"/>
      <c r="AG127" s="24">
        <f>+'[5]JULIO 2016'!$O$1834</f>
        <v>84468000</v>
      </c>
      <c r="AH127" s="24"/>
      <c r="AI127" s="24"/>
      <c r="AJ127" s="24"/>
      <c r="AK127" s="24"/>
      <c r="AL127" s="24"/>
      <c r="AM127" s="24"/>
      <c r="AN127" s="24"/>
      <c r="AO127" s="24"/>
      <c r="AP127" s="24"/>
      <c r="AQ127" s="24"/>
      <c r="AR127" s="24"/>
      <c r="AS127" s="24"/>
      <c r="AT127" s="24"/>
      <c r="AU127" s="24"/>
      <c r="AV127" s="24"/>
      <c r="AW127" s="25">
        <f t="shared" si="117"/>
        <v>0.1335637155833963</v>
      </c>
      <c r="AX127" s="24">
        <f t="shared" si="144"/>
        <v>13020992</v>
      </c>
      <c r="AY127" s="24">
        <f t="shared" ref="AY127:BA132" si="157">H127-AD127</f>
        <v>0</v>
      </c>
      <c r="AZ127" s="24">
        <f t="shared" si="157"/>
        <v>0</v>
      </c>
      <c r="BA127" s="24">
        <f t="shared" si="157"/>
        <v>0</v>
      </c>
      <c r="BB127" s="24">
        <f t="shared" ref="BB127:BM132" si="158">+K127-AG127</f>
        <v>7020992</v>
      </c>
      <c r="BC127" s="24">
        <f t="shared" si="158"/>
        <v>0</v>
      </c>
      <c r="BD127" s="24">
        <f t="shared" si="158"/>
        <v>0</v>
      </c>
      <c r="BE127" s="24">
        <f t="shared" si="158"/>
        <v>0</v>
      </c>
      <c r="BF127" s="24">
        <f t="shared" si="158"/>
        <v>0</v>
      </c>
      <c r="BG127" s="24">
        <f t="shared" si="158"/>
        <v>0</v>
      </c>
      <c r="BH127" s="24">
        <f t="shared" si="158"/>
        <v>0</v>
      </c>
      <c r="BI127" s="24">
        <f t="shared" si="158"/>
        <v>0</v>
      </c>
      <c r="BJ127" s="24">
        <f t="shared" si="158"/>
        <v>0</v>
      </c>
      <c r="BK127" s="24">
        <f t="shared" si="158"/>
        <v>0</v>
      </c>
      <c r="BL127" s="24">
        <f t="shared" si="158"/>
        <v>6000000</v>
      </c>
      <c r="BM127" s="24">
        <f t="shared" si="158"/>
        <v>0</v>
      </c>
      <c r="BN127" s="24"/>
      <c r="BO127" s="24"/>
      <c r="BP127" s="24">
        <f t="shared" ref="BP127:BP132" si="159">Y127-AU127</f>
        <v>0</v>
      </c>
      <c r="BQ127" s="24">
        <f t="shared" ref="BQ127:BQ132" si="160">+Z127-AV127</f>
        <v>0</v>
      </c>
      <c r="BR127" s="25">
        <f t="shared" si="123"/>
        <v>0.84342044484365986</v>
      </c>
      <c r="BS127" s="24">
        <f t="shared" si="149"/>
        <v>82224209</v>
      </c>
      <c r="BT127" s="24"/>
      <c r="BU127" s="24"/>
      <c r="BV127" s="24"/>
      <c r="BW127" s="24"/>
      <c r="BX127" s="24">
        <f>+'[4]AGOSTO 2016'!$H$2440</f>
        <v>82224209</v>
      </c>
      <c r="BY127" s="24"/>
      <c r="BZ127" s="24"/>
      <c r="CA127" s="24"/>
      <c r="CB127" s="24"/>
      <c r="CC127" s="24"/>
      <c r="CD127" s="24"/>
      <c r="CE127" s="24"/>
      <c r="CF127" s="24"/>
      <c r="CG127" s="24"/>
      <c r="CH127" s="24"/>
      <c r="CI127" s="24"/>
      <c r="CJ127" s="24"/>
      <c r="CK127" s="24"/>
      <c r="CL127" s="24"/>
      <c r="CM127" s="24"/>
      <c r="CN127" s="25">
        <f t="shared" si="125"/>
        <v>0.15657955515634014</v>
      </c>
      <c r="CO127" s="24">
        <f t="shared" si="150"/>
        <v>15264783</v>
      </c>
      <c r="CP127" s="24">
        <f t="shared" ref="CP127:CU132" si="161">H127-BU127</f>
        <v>0</v>
      </c>
      <c r="CQ127" s="24">
        <f t="shared" si="161"/>
        <v>0</v>
      </c>
      <c r="CR127" s="24">
        <f t="shared" si="161"/>
        <v>0</v>
      </c>
      <c r="CS127" s="24">
        <f t="shared" si="161"/>
        <v>9264783</v>
      </c>
      <c r="CT127" s="24">
        <f t="shared" si="161"/>
        <v>0</v>
      </c>
      <c r="CU127" s="24">
        <f t="shared" si="161"/>
        <v>0</v>
      </c>
      <c r="CV127" s="24">
        <f t="shared" ref="CV127:CX132" si="162">+N127-CA127</f>
        <v>0</v>
      </c>
      <c r="CW127" s="24">
        <f t="shared" si="162"/>
        <v>0</v>
      </c>
      <c r="CX127" s="24">
        <f t="shared" si="162"/>
        <v>0</v>
      </c>
      <c r="CY127" s="24">
        <f t="shared" ref="CY127:DA132" si="163">Q127-CD127</f>
        <v>0</v>
      </c>
      <c r="CZ127" s="24">
        <f t="shared" si="163"/>
        <v>0</v>
      </c>
      <c r="DA127" s="24">
        <f t="shared" si="163"/>
        <v>0</v>
      </c>
      <c r="DB127" s="24">
        <f t="shared" ref="DB127:DD132" si="164">+T127-CG127</f>
        <v>0</v>
      </c>
      <c r="DC127" s="24">
        <f t="shared" si="164"/>
        <v>6000000</v>
      </c>
      <c r="DD127" s="24">
        <f t="shared" si="164"/>
        <v>0</v>
      </c>
      <c r="DE127" s="24"/>
      <c r="DF127" s="24">
        <f t="shared" ref="DF127:DH132" si="165">+X127-CK127</f>
        <v>0</v>
      </c>
      <c r="DG127" s="24">
        <f t="shared" si="165"/>
        <v>0</v>
      </c>
      <c r="DH127" s="24">
        <f t="shared" si="165"/>
        <v>0</v>
      </c>
      <c r="DJ127" s="77"/>
      <c r="DK127" s="77"/>
      <c r="DL127" s="196">
        <f t="shared" si="104"/>
        <v>97488992</v>
      </c>
      <c r="DM127" s="197">
        <f t="shared" si="105"/>
        <v>82224209</v>
      </c>
      <c r="DN127" s="198">
        <f t="shared" si="156"/>
        <v>0.84342044484365986</v>
      </c>
    </row>
    <row r="128" spans="1:118" ht="44.25" hidden="1" customHeight="1" x14ac:dyDescent="0.25">
      <c r="A128" s="238"/>
      <c r="B128" s="232"/>
      <c r="C128" s="69" t="s">
        <v>356</v>
      </c>
      <c r="D128" s="21" t="s">
        <v>357</v>
      </c>
      <c r="E128" s="94">
        <v>510</v>
      </c>
      <c r="F128" s="23" t="s">
        <v>355</v>
      </c>
      <c r="G128" s="24">
        <f t="shared" si="142"/>
        <v>105511008</v>
      </c>
      <c r="H128" s="24"/>
      <c r="I128" s="24"/>
      <c r="J128" s="24"/>
      <c r="K128" s="24">
        <f>102000000+3511008</f>
        <v>105511008</v>
      </c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5">
        <f t="shared" si="115"/>
        <v>0.99989566965372945</v>
      </c>
      <c r="AB128" s="24">
        <f t="shared" si="143"/>
        <v>105500000</v>
      </c>
      <c r="AC128" s="24"/>
      <c r="AD128" s="24"/>
      <c r="AE128" s="24"/>
      <c r="AF128" s="24"/>
      <c r="AG128" s="24">
        <f>+'[1]SEPTIEMBRE 2016'!$O$2892</f>
        <v>105500000</v>
      </c>
      <c r="AH128" s="24"/>
      <c r="AI128" s="24"/>
      <c r="AJ128" s="24"/>
      <c r="AK128" s="24"/>
      <c r="AL128" s="24"/>
      <c r="AM128" s="24"/>
      <c r="AN128" s="24"/>
      <c r="AO128" s="24"/>
      <c r="AP128" s="24"/>
      <c r="AQ128" s="24"/>
      <c r="AR128" s="24"/>
      <c r="AS128" s="24"/>
      <c r="AT128" s="24"/>
      <c r="AU128" s="24"/>
      <c r="AV128" s="24"/>
      <c r="AW128" s="25">
        <f t="shared" si="117"/>
        <v>1.043303462705536E-4</v>
      </c>
      <c r="AX128" s="24">
        <f t="shared" si="144"/>
        <v>11008</v>
      </c>
      <c r="AY128" s="24">
        <f t="shared" si="157"/>
        <v>0</v>
      </c>
      <c r="AZ128" s="24">
        <f t="shared" si="157"/>
        <v>0</v>
      </c>
      <c r="BA128" s="24">
        <f t="shared" si="157"/>
        <v>0</v>
      </c>
      <c r="BB128" s="24">
        <f t="shared" si="158"/>
        <v>11008</v>
      </c>
      <c r="BC128" s="24">
        <f t="shared" si="158"/>
        <v>0</v>
      </c>
      <c r="BD128" s="24">
        <f t="shared" si="158"/>
        <v>0</v>
      </c>
      <c r="BE128" s="24">
        <f t="shared" si="158"/>
        <v>0</v>
      </c>
      <c r="BF128" s="24">
        <f t="shared" si="158"/>
        <v>0</v>
      </c>
      <c r="BG128" s="24">
        <f t="shared" si="158"/>
        <v>0</v>
      </c>
      <c r="BH128" s="24">
        <f t="shared" si="158"/>
        <v>0</v>
      </c>
      <c r="BI128" s="24">
        <f t="shared" si="158"/>
        <v>0</v>
      </c>
      <c r="BJ128" s="24">
        <f t="shared" si="158"/>
        <v>0</v>
      </c>
      <c r="BK128" s="24">
        <f t="shared" si="158"/>
        <v>0</v>
      </c>
      <c r="BL128" s="24">
        <f t="shared" si="158"/>
        <v>0</v>
      </c>
      <c r="BM128" s="24">
        <f t="shared" si="158"/>
        <v>0</v>
      </c>
      <c r="BN128" s="24"/>
      <c r="BO128" s="24"/>
      <c r="BP128" s="24">
        <f t="shared" si="159"/>
        <v>0</v>
      </c>
      <c r="BQ128" s="24">
        <f t="shared" si="160"/>
        <v>0</v>
      </c>
      <c r="BR128" s="25">
        <f t="shared" si="123"/>
        <v>0.95702875855379943</v>
      </c>
      <c r="BS128" s="24">
        <f t="shared" si="149"/>
        <v>100977069</v>
      </c>
      <c r="BT128" s="24"/>
      <c r="BU128" s="24"/>
      <c r="BV128" s="24"/>
      <c r="BW128" s="24"/>
      <c r="BX128" s="24">
        <f>+'[5]JULIO 2016'!$H$1849</f>
        <v>100977069</v>
      </c>
      <c r="BY128" s="24"/>
      <c r="BZ128" s="24"/>
      <c r="CA128" s="24"/>
      <c r="CB128" s="24"/>
      <c r="CC128" s="24"/>
      <c r="CD128" s="24"/>
      <c r="CE128" s="24"/>
      <c r="CF128" s="24"/>
      <c r="CG128" s="24"/>
      <c r="CH128" s="24"/>
      <c r="CI128" s="24"/>
      <c r="CJ128" s="24"/>
      <c r="CK128" s="24"/>
      <c r="CL128" s="24"/>
      <c r="CM128" s="24"/>
      <c r="CN128" s="25">
        <f t="shared" si="125"/>
        <v>4.297124144620057E-2</v>
      </c>
      <c r="CO128" s="24">
        <f t="shared" si="150"/>
        <v>4533939</v>
      </c>
      <c r="CP128" s="24">
        <f t="shared" si="161"/>
        <v>0</v>
      </c>
      <c r="CQ128" s="24">
        <f t="shared" si="161"/>
        <v>0</v>
      </c>
      <c r="CR128" s="24">
        <f t="shared" si="161"/>
        <v>0</v>
      </c>
      <c r="CS128" s="24">
        <f t="shared" si="161"/>
        <v>4533939</v>
      </c>
      <c r="CT128" s="24">
        <f t="shared" si="161"/>
        <v>0</v>
      </c>
      <c r="CU128" s="24">
        <f t="shared" si="161"/>
        <v>0</v>
      </c>
      <c r="CV128" s="24">
        <f t="shared" si="162"/>
        <v>0</v>
      </c>
      <c r="CW128" s="24">
        <f t="shared" si="162"/>
        <v>0</v>
      </c>
      <c r="CX128" s="24">
        <f t="shared" si="162"/>
        <v>0</v>
      </c>
      <c r="CY128" s="24">
        <f t="shared" si="163"/>
        <v>0</v>
      </c>
      <c r="CZ128" s="24">
        <f t="shared" si="163"/>
        <v>0</v>
      </c>
      <c r="DA128" s="24">
        <f t="shared" si="163"/>
        <v>0</v>
      </c>
      <c r="DB128" s="24">
        <f t="shared" si="164"/>
        <v>0</v>
      </c>
      <c r="DC128" s="24">
        <f t="shared" si="164"/>
        <v>0</v>
      </c>
      <c r="DD128" s="24">
        <f t="shared" si="164"/>
        <v>0</v>
      </c>
      <c r="DE128" s="24"/>
      <c r="DF128" s="24">
        <f t="shared" si="165"/>
        <v>0</v>
      </c>
      <c r="DG128" s="24">
        <f t="shared" si="165"/>
        <v>0</v>
      </c>
      <c r="DH128" s="24">
        <f t="shared" si="165"/>
        <v>0</v>
      </c>
      <c r="DJ128" s="77" t="s">
        <v>409</v>
      </c>
      <c r="DK128" s="77"/>
      <c r="DL128" s="196">
        <f t="shared" si="104"/>
        <v>105511008</v>
      </c>
      <c r="DM128" s="197">
        <f t="shared" si="105"/>
        <v>100977069</v>
      </c>
      <c r="DN128" s="198">
        <f t="shared" si="156"/>
        <v>0.95702875855379943</v>
      </c>
    </row>
    <row r="129" spans="1:118" ht="38.25" hidden="1" customHeight="1" x14ac:dyDescent="0.25">
      <c r="A129" s="238"/>
      <c r="B129" s="233"/>
      <c r="C129" s="69" t="s">
        <v>358</v>
      </c>
      <c r="D129" s="21" t="s">
        <v>359</v>
      </c>
      <c r="E129" s="94">
        <v>510</v>
      </c>
      <c r="F129" s="23" t="s">
        <v>355</v>
      </c>
      <c r="G129" s="24">
        <f t="shared" si="142"/>
        <v>10000000</v>
      </c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>
        <v>10000000</v>
      </c>
      <c r="T129" s="24"/>
      <c r="U129" s="24"/>
      <c r="V129" s="24"/>
      <c r="W129" s="24"/>
      <c r="X129" s="24"/>
      <c r="Y129" s="24"/>
      <c r="Z129" s="24"/>
      <c r="AA129" s="25">
        <f t="shared" si="115"/>
        <v>0</v>
      </c>
      <c r="AB129" s="24">
        <f t="shared" si="143"/>
        <v>0</v>
      </c>
      <c r="AC129" s="24"/>
      <c r="AD129" s="24"/>
      <c r="AE129" s="24"/>
      <c r="AF129" s="24"/>
      <c r="AG129" s="24"/>
      <c r="AH129" s="24"/>
      <c r="AI129" s="24"/>
      <c r="AJ129" s="24"/>
      <c r="AK129" s="24"/>
      <c r="AL129" s="24"/>
      <c r="AM129" s="24"/>
      <c r="AN129" s="24"/>
      <c r="AO129" s="24"/>
      <c r="AP129" s="24"/>
      <c r="AQ129" s="24"/>
      <c r="AR129" s="24"/>
      <c r="AS129" s="24"/>
      <c r="AT129" s="24"/>
      <c r="AU129" s="24"/>
      <c r="AV129" s="24"/>
      <c r="AW129" s="25">
        <f t="shared" si="117"/>
        <v>1</v>
      </c>
      <c r="AX129" s="24">
        <f t="shared" si="144"/>
        <v>10000000</v>
      </c>
      <c r="AY129" s="24">
        <f t="shared" si="157"/>
        <v>0</v>
      </c>
      <c r="AZ129" s="24">
        <f t="shared" si="157"/>
        <v>0</v>
      </c>
      <c r="BA129" s="24">
        <f t="shared" si="157"/>
        <v>0</v>
      </c>
      <c r="BB129" s="24">
        <f t="shared" si="158"/>
        <v>0</v>
      </c>
      <c r="BC129" s="24">
        <f t="shared" si="158"/>
        <v>0</v>
      </c>
      <c r="BD129" s="24">
        <f t="shared" si="158"/>
        <v>0</v>
      </c>
      <c r="BE129" s="24">
        <f t="shared" si="158"/>
        <v>0</v>
      </c>
      <c r="BF129" s="24">
        <f t="shared" si="158"/>
        <v>0</v>
      </c>
      <c r="BG129" s="24">
        <f t="shared" si="158"/>
        <v>0</v>
      </c>
      <c r="BH129" s="24">
        <f t="shared" si="158"/>
        <v>0</v>
      </c>
      <c r="BI129" s="24">
        <f t="shared" si="158"/>
        <v>0</v>
      </c>
      <c r="BJ129" s="24">
        <f t="shared" si="158"/>
        <v>10000000</v>
      </c>
      <c r="BK129" s="24">
        <f t="shared" si="158"/>
        <v>0</v>
      </c>
      <c r="BL129" s="24">
        <f t="shared" si="158"/>
        <v>0</v>
      </c>
      <c r="BM129" s="24">
        <f t="shared" si="158"/>
        <v>0</v>
      </c>
      <c r="BN129" s="24"/>
      <c r="BO129" s="24"/>
      <c r="BP129" s="24">
        <f t="shared" si="159"/>
        <v>0</v>
      </c>
      <c r="BQ129" s="24">
        <f t="shared" si="160"/>
        <v>0</v>
      </c>
      <c r="BR129" s="25">
        <f t="shared" si="123"/>
        <v>0</v>
      </c>
      <c r="BS129" s="24">
        <f t="shared" si="149"/>
        <v>0</v>
      </c>
      <c r="BT129" s="24"/>
      <c r="BU129" s="24"/>
      <c r="BV129" s="24"/>
      <c r="BW129" s="24"/>
      <c r="BX129" s="24"/>
      <c r="BY129" s="24"/>
      <c r="BZ129" s="24"/>
      <c r="CA129" s="24"/>
      <c r="CB129" s="24"/>
      <c r="CC129" s="24"/>
      <c r="CD129" s="24"/>
      <c r="CE129" s="24"/>
      <c r="CF129" s="24"/>
      <c r="CG129" s="24"/>
      <c r="CH129" s="24"/>
      <c r="CI129" s="24"/>
      <c r="CJ129" s="24"/>
      <c r="CK129" s="24"/>
      <c r="CL129" s="24"/>
      <c r="CM129" s="24"/>
      <c r="CN129" s="25">
        <f t="shared" si="125"/>
        <v>1</v>
      </c>
      <c r="CO129" s="24">
        <f t="shared" si="150"/>
        <v>10000000</v>
      </c>
      <c r="CP129" s="24">
        <f t="shared" si="161"/>
        <v>0</v>
      </c>
      <c r="CQ129" s="24">
        <f t="shared" si="161"/>
        <v>0</v>
      </c>
      <c r="CR129" s="24">
        <f t="shared" si="161"/>
        <v>0</v>
      </c>
      <c r="CS129" s="24">
        <f t="shared" si="161"/>
        <v>0</v>
      </c>
      <c r="CT129" s="24">
        <f t="shared" si="161"/>
        <v>0</v>
      </c>
      <c r="CU129" s="24">
        <f t="shared" si="161"/>
        <v>0</v>
      </c>
      <c r="CV129" s="24">
        <f t="shared" si="162"/>
        <v>0</v>
      </c>
      <c r="CW129" s="24">
        <f t="shared" si="162"/>
        <v>0</v>
      </c>
      <c r="CX129" s="24">
        <f t="shared" si="162"/>
        <v>0</v>
      </c>
      <c r="CY129" s="24">
        <f t="shared" si="163"/>
        <v>0</v>
      </c>
      <c r="CZ129" s="24">
        <f t="shared" si="163"/>
        <v>0</v>
      </c>
      <c r="DA129" s="24">
        <f t="shared" si="163"/>
        <v>10000000</v>
      </c>
      <c r="DB129" s="24">
        <f t="shared" si="164"/>
        <v>0</v>
      </c>
      <c r="DC129" s="24">
        <f t="shared" si="164"/>
        <v>0</v>
      </c>
      <c r="DD129" s="24">
        <f t="shared" si="164"/>
        <v>0</v>
      </c>
      <c r="DE129" s="24"/>
      <c r="DF129" s="24">
        <f t="shared" si="165"/>
        <v>0</v>
      </c>
      <c r="DG129" s="24">
        <f t="shared" si="165"/>
        <v>0</v>
      </c>
      <c r="DH129" s="24">
        <f t="shared" si="165"/>
        <v>0</v>
      </c>
      <c r="DJ129" s="77"/>
      <c r="DK129" s="77"/>
      <c r="DL129" s="196">
        <f t="shared" si="104"/>
        <v>10000000</v>
      </c>
      <c r="DM129" s="197">
        <f t="shared" si="105"/>
        <v>0</v>
      </c>
      <c r="DN129" s="77"/>
    </row>
    <row r="130" spans="1:118" ht="37.5" hidden="1" customHeight="1" x14ac:dyDescent="0.25">
      <c r="A130" s="238"/>
      <c r="B130" s="88" t="s">
        <v>360</v>
      </c>
      <c r="C130" s="69" t="s">
        <v>361</v>
      </c>
      <c r="D130" s="21" t="s">
        <v>362</v>
      </c>
      <c r="E130" s="94">
        <v>510</v>
      </c>
      <c r="F130" s="23" t="s">
        <v>355</v>
      </c>
      <c r="G130" s="24">
        <f t="shared" si="142"/>
        <v>80000000</v>
      </c>
      <c r="H130" s="24"/>
      <c r="I130" s="24"/>
      <c r="J130" s="24"/>
      <c r="K130" s="24">
        <v>80000000</v>
      </c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5">
        <f t="shared" si="115"/>
        <v>1</v>
      </c>
      <c r="AB130" s="24">
        <f t="shared" si="143"/>
        <v>80000000</v>
      </c>
      <c r="AC130" s="24"/>
      <c r="AD130" s="24"/>
      <c r="AE130" s="24"/>
      <c r="AF130" s="24"/>
      <c r="AG130" s="24">
        <f>+'[2]ENERO 2016'!$O$625</f>
        <v>80000000</v>
      </c>
      <c r="AH130" s="24"/>
      <c r="AI130" s="24"/>
      <c r="AJ130" s="24"/>
      <c r="AK130" s="24"/>
      <c r="AL130" s="24"/>
      <c r="AM130" s="24"/>
      <c r="AN130" s="24"/>
      <c r="AO130" s="24"/>
      <c r="AP130" s="24"/>
      <c r="AQ130" s="24"/>
      <c r="AR130" s="24"/>
      <c r="AS130" s="24"/>
      <c r="AT130" s="24"/>
      <c r="AU130" s="24"/>
      <c r="AV130" s="24"/>
      <c r="AW130" s="25">
        <f t="shared" si="117"/>
        <v>0</v>
      </c>
      <c r="AX130" s="24">
        <f t="shared" si="144"/>
        <v>0</v>
      </c>
      <c r="AY130" s="24">
        <f t="shared" si="157"/>
        <v>0</v>
      </c>
      <c r="AZ130" s="24">
        <f t="shared" si="157"/>
        <v>0</v>
      </c>
      <c r="BA130" s="24">
        <f t="shared" si="157"/>
        <v>0</v>
      </c>
      <c r="BB130" s="24">
        <f t="shared" si="158"/>
        <v>0</v>
      </c>
      <c r="BC130" s="24">
        <f t="shared" si="158"/>
        <v>0</v>
      </c>
      <c r="BD130" s="24">
        <f t="shared" si="158"/>
        <v>0</v>
      </c>
      <c r="BE130" s="24">
        <f t="shared" si="158"/>
        <v>0</v>
      </c>
      <c r="BF130" s="24">
        <f t="shared" si="158"/>
        <v>0</v>
      </c>
      <c r="BG130" s="24">
        <f t="shared" si="158"/>
        <v>0</v>
      </c>
      <c r="BH130" s="24">
        <f t="shared" si="158"/>
        <v>0</v>
      </c>
      <c r="BI130" s="24">
        <f t="shared" si="158"/>
        <v>0</v>
      </c>
      <c r="BJ130" s="24">
        <f t="shared" si="158"/>
        <v>0</v>
      </c>
      <c r="BK130" s="24">
        <f t="shared" si="158"/>
        <v>0</v>
      </c>
      <c r="BL130" s="24">
        <f t="shared" si="158"/>
        <v>0</v>
      </c>
      <c r="BM130" s="24">
        <f t="shared" si="158"/>
        <v>0</v>
      </c>
      <c r="BN130" s="24"/>
      <c r="BO130" s="24"/>
      <c r="BP130" s="24">
        <f t="shared" si="159"/>
        <v>0</v>
      </c>
      <c r="BQ130" s="24">
        <f t="shared" si="160"/>
        <v>0</v>
      </c>
      <c r="BR130" s="25">
        <f t="shared" si="123"/>
        <v>0.97971187500000001</v>
      </c>
      <c r="BS130" s="24">
        <f t="shared" si="149"/>
        <v>78376950</v>
      </c>
      <c r="BT130" s="24"/>
      <c r="BU130" s="24"/>
      <c r="BV130" s="24"/>
      <c r="BW130" s="24"/>
      <c r="BX130" s="24">
        <f>+'[10]MARZO 2016 ULTIMO'!$H$1027</f>
        <v>78376950</v>
      </c>
      <c r="BY130" s="24"/>
      <c r="BZ130" s="24"/>
      <c r="CA130" s="24"/>
      <c r="CB130" s="24"/>
      <c r="CC130" s="24"/>
      <c r="CD130" s="24"/>
      <c r="CE130" s="24"/>
      <c r="CF130" s="24"/>
      <c r="CG130" s="24"/>
      <c r="CH130" s="24"/>
      <c r="CI130" s="24"/>
      <c r="CJ130" s="24"/>
      <c r="CK130" s="24"/>
      <c r="CL130" s="24"/>
      <c r="CM130" s="24"/>
      <c r="CN130" s="25">
        <f t="shared" si="125"/>
        <v>2.028812499999999E-2</v>
      </c>
      <c r="CO130" s="24">
        <f t="shared" si="150"/>
        <v>1623050</v>
      </c>
      <c r="CP130" s="24">
        <f t="shared" si="161"/>
        <v>0</v>
      </c>
      <c r="CQ130" s="24">
        <f t="shared" si="161"/>
        <v>0</v>
      </c>
      <c r="CR130" s="24">
        <f t="shared" si="161"/>
        <v>0</v>
      </c>
      <c r="CS130" s="24">
        <f t="shared" si="161"/>
        <v>1623050</v>
      </c>
      <c r="CT130" s="24">
        <f t="shared" si="161"/>
        <v>0</v>
      </c>
      <c r="CU130" s="24">
        <f t="shared" si="161"/>
        <v>0</v>
      </c>
      <c r="CV130" s="24">
        <f t="shared" si="162"/>
        <v>0</v>
      </c>
      <c r="CW130" s="24">
        <f t="shared" si="162"/>
        <v>0</v>
      </c>
      <c r="CX130" s="24">
        <f t="shared" si="162"/>
        <v>0</v>
      </c>
      <c r="CY130" s="24">
        <f t="shared" si="163"/>
        <v>0</v>
      </c>
      <c r="CZ130" s="24">
        <f t="shared" si="163"/>
        <v>0</v>
      </c>
      <c r="DA130" s="24">
        <f t="shared" si="163"/>
        <v>0</v>
      </c>
      <c r="DB130" s="24">
        <f t="shared" si="164"/>
        <v>0</v>
      </c>
      <c r="DC130" s="24">
        <f t="shared" si="164"/>
        <v>0</v>
      </c>
      <c r="DD130" s="24">
        <f t="shared" si="164"/>
        <v>0</v>
      </c>
      <c r="DE130" s="24"/>
      <c r="DF130" s="24">
        <f t="shared" si="165"/>
        <v>0</v>
      </c>
      <c r="DG130" s="24">
        <f t="shared" si="165"/>
        <v>0</v>
      </c>
      <c r="DH130" s="24">
        <f t="shared" si="165"/>
        <v>0</v>
      </c>
      <c r="DJ130" s="276" t="s">
        <v>15</v>
      </c>
      <c r="DK130" s="276"/>
      <c r="DL130" s="196">
        <f t="shared" si="104"/>
        <v>80000000</v>
      </c>
      <c r="DM130" s="197">
        <f t="shared" si="105"/>
        <v>78376950</v>
      </c>
      <c r="DN130" s="198">
        <v>0.54620000000000002</v>
      </c>
    </row>
    <row r="131" spans="1:118" ht="35.25" hidden="1" customHeight="1" x14ac:dyDescent="0.25">
      <c r="A131" s="238"/>
      <c r="B131" s="88" t="s">
        <v>363</v>
      </c>
      <c r="C131" s="69" t="s">
        <v>364</v>
      </c>
      <c r="D131" s="21" t="s">
        <v>365</v>
      </c>
      <c r="E131" s="94">
        <v>510</v>
      </c>
      <c r="F131" s="23" t="s">
        <v>366</v>
      </c>
      <c r="G131" s="24">
        <f t="shared" si="142"/>
        <v>110000000</v>
      </c>
      <c r="H131" s="24"/>
      <c r="I131" s="24"/>
      <c r="J131" s="24"/>
      <c r="K131" s="24">
        <v>110000000</v>
      </c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5">
        <f t="shared" si="115"/>
        <v>1</v>
      </c>
      <c r="AB131" s="24">
        <f t="shared" si="143"/>
        <v>110000000</v>
      </c>
      <c r="AC131" s="24"/>
      <c r="AD131" s="24"/>
      <c r="AE131" s="24"/>
      <c r="AF131" s="24"/>
      <c r="AG131" s="24">
        <f>+'[5]JULIO 2016'!$O$1895</f>
        <v>110000000</v>
      </c>
      <c r="AH131" s="24"/>
      <c r="AI131" s="24"/>
      <c r="AJ131" s="24"/>
      <c r="AK131" s="24"/>
      <c r="AL131" s="24"/>
      <c r="AM131" s="24"/>
      <c r="AN131" s="24"/>
      <c r="AO131" s="24"/>
      <c r="AP131" s="24"/>
      <c r="AQ131" s="24"/>
      <c r="AR131" s="24"/>
      <c r="AS131" s="24"/>
      <c r="AT131" s="24"/>
      <c r="AU131" s="24"/>
      <c r="AV131" s="24"/>
      <c r="AW131" s="25">
        <f t="shared" si="117"/>
        <v>0</v>
      </c>
      <c r="AX131" s="24">
        <f t="shared" si="144"/>
        <v>0</v>
      </c>
      <c r="AY131" s="24">
        <f t="shared" si="157"/>
        <v>0</v>
      </c>
      <c r="AZ131" s="24">
        <f t="shared" si="157"/>
        <v>0</v>
      </c>
      <c r="BA131" s="24">
        <f t="shared" si="157"/>
        <v>0</v>
      </c>
      <c r="BB131" s="24">
        <f t="shared" si="158"/>
        <v>0</v>
      </c>
      <c r="BC131" s="24">
        <f t="shared" si="158"/>
        <v>0</v>
      </c>
      <c r="BD131" s="24">
        <f t="shared" si="158"/>
        <v>0</v>
      </c>
      <c r="BE131" s="24">
        <f t="shared" si="158"/>
        <v>0</v>
      </c>
      <c r="BF131" s="24">
        <f t="shared" si="158"/>
        <v>0</v>
      </c>
      <c r="BG131" s="24">
        <f t="shared" si="158"/>
        <v>0</v>
      </c>
      <c r="BH131" s="24">
        <f t="shared" si="158"/>
        <v>0</v>
      </c>
      <c r="BI131" s="24">
        <f t="shared" si="158"/>
        <v>0</v>
      </c>
      <c r="BJ131" s="24">
        <f t="shared" si="158"/>
        <v>0</v>
      </c>
      <c r="BK131" s="24">
        <f t="shared" si="158"/>
        <v>0</v>
      </c>
      <c r="BL131" s="24">
        <f t="shared" si="158"/>
        <v>0</v>
      </c>
      <c r="BM131" s="24">
        <f t="shared" si="158"/>
        <v>0</v>
      </c>
      <c r="BN131" s="24"/>
      <c r="BO131" s="24"/>
      <c r="BP131" s="24">
        <f t="shared" si="159"/>
        <v>0</v>
      </c>
      <c r="BQ131" s="24">
        <f t="shared" si="160"/>
        <v>0</v>
      </c>
      <c r="BR131" s="25">
        <f t="shared" si="123"/>
        <v>0.97727465454545459</v>
      </c>
      <c r="BS131" s="24">
        <f t="shared" si="149"/>
        <v>107500212</v>
      </c>
      <c r="BT131" s="24"/>
      <c r="BU131" s="24"/>
      <c r="BV131" s="24"/>
      <c r="BW131" s="24"/>
      <c r="BX131" s="24">
        <f>+'[1]SEPTIEMBRE 2016'!$H$2935</f>
        <v>107500212</v>
      </c>
      <c r="BY131" s="24"/>
      <c r="BZ131" s="24"/>
      <c r="CA131" s="24"/>
      <c r="CB131" s="24"/>
      <c r="CC131" s="24"/>
      <c r="CD131" s="24"/>
      <c r="CE131" s="24"/>
      <c r="CF131" s="24"/>
      <c r="CG131" s="24"/>
      <c r="CH131" s="24"/>
      <c r="CI131" s="24"/>
      <c r="CJ131" s="24"/>
      <c r="CK131" s="24"/>
      <c r="CL131" s="24"/>
      <c r="CM131" s="24"/>
      <c r="CN131" s="25">
        <f t="shared" si="125"/>
        <v>2.2725345454545409E-2</v>
      </c>
      <c r="CO131" s="24">
        <f t="shared" si="150"/>
        <v>2499788</v>
      </c>
      <c r="CP131" s="24">
        <f t="shared" si="161"/>
        <v>0</v>
      </c>
      <c r="CQ131" s="24">
        <f t="shared" si="161"/>
        <v>0</v>
      </c>
      <c r="CR131" s="24">
        <f t="shared" si="161"/>
        <v>0</v>
      </c>
      <c r="CS131" s="24">
        <f t="shared" si="161"/>
        <v>2499788</v>
      </c>
      <c r="CT131" s="24">
        <f t="shared" si="161"/>
        <v>0</v>
      </c>
      <c r="CU131" s="24">
        <f t="shared" si="161"/>
        <v>0</v>
      </c>
      <c r="CV131" s="24">
        <f t="shared" si="162"/>
        <v>0</v>
      </c>
      <c r="CW131" s="24">
        <f t="shared" si="162"/>
        <v>0</v>
      </c>
      <c r="CX131" s="24">
        <f t="shared" si="162"/>
        <v>0</v>
      </c>
      <c r="CY131" s="24">
        <f t="shared" si="163"/>
        <v>0</v>
      </c>
      <c r="CZ131" s="24">
        <f t="shared" si="163"/>
        <v>0</v>
      </c>
      <c r="DA131" s="24">
        <f t="shared" si="163"/>
        <v>0</v>
      </c>
      <c r="DB131" s="24">
        <f t="shared" si="164"/>
        <v>0</v>
      </c>
      <c r="DC131" s="24">
        <f t="shared" si="164"/>
        <v>0</v>
      </c>
      <c r="DD131" s="24">
        <f t="shared" si="164"/>
        <v>0</v>
      </c>
      <c r="DE131" s="24"/>
      <c r="DF131" s="24">
        <f t="shared" si="165"/>
        <v>0</v>
      </c>
      <c r="DG131" s="24">
        <f t="shared" si="165"/>
        <v>0</v>
      </c>
      <c r="DH131" s="24">
        <f t="shared" si="165"/>
        <v>0</v>
      </c>
      <c r="DJ131" s="77"/>
      <c r="DK131" s="77"/>
      <c r="DL131" s="196">
        <f t="shared" si="104"/>
        <v>110000000</v>
      </c>
      <c r="DM131" s="197">
        <f t="shared" si="105"/>
        <v>107500212</v>
      </c>
      <c r="DN131" s="77"/>
    </row>
    <row r="132" spans="1:118" ht="41.25" hidden="1" customHeight="1" x14ac:dyDescent="0.25">
      <c r="A132" s="239"/>
      <c r="B132" s="88" t="s">
        <v>367</v>
      </c>
      <c r="C132" s="69" t="s">
        <v>368</v>
      </c>
      <c r="D132" s="21" t="s">
        <v>369</v>
      </c>
      <c r="E132" s="94">
        <v>310</v>
      </c>
      <c r="F132" s="23" t="s">
        <v>370</v>
      </c>
      <c r="G132" s="24">
        <f t="shared" si="142"/>
        <v>275146880</v>
      </c>
      <c r="H132" s="24"/>
      <c r="I132" s="24"/>
      <c r="J132" s="24"/>
      <c r="K132" s="24">
        <v>243168096</v>
      </c>
      <c r="L132" s="24"/>
      <c r="M132" s="24"/>
      <c r="N132" s="24"/>
      <c r="O132" s="24"/>
      <c r="P132" s="24"/>
      <c r="Q132" s="24"/>
      <c r="R132" s="24">
        <v>4978784</v>
      </c>
      <c r="S132" s="24"/>
      <c r="T132" s="24"/>
      <c r="U132" s="24"/>
      <c r="V132" s="24"/>
      <c r="W132" s="24"/>
      <c r="X132" s="24"/>
      <c r="Y132" s="24"/>
      <c r="Z132" s="24">
        <f>25000000+2000000</f>
        <v>27000000</v>
      </c>
      <c r="AA132" s="25">
        <f t="shared" si="115"/>
        <v>0.54436535496968019</v>
      </c>
      <c r="AB132" s="24">
        <f t="shared" si="143"/>
        <v>149780429</v>
      </c>
      <c r="AC132" s="24"/>
      <c r="AD132" s="24"/>
      <c r="AE132" s="24"/>
      <c r="AF132" s="24"/>
      <c r="AG132" s="24">
        <f>+'[5]JULIO 2016'!$O$477</f>
        <v>145193691</v>
      </c>
      <c r="AH132" s="24"/>
      <c r="AI132" s="24"/>
      <c r="AJ132" s="24"/>
      <c r="AK132" s="24"/>
      <c r="AL132" s="24"/>
      <c r="AM132" s="24"/>
      <c r="AN132" s="24"/>
      <c r="AO132" s="24"/>
      <c r="AP132" s="24"/>
      <c r="AQ132" s="24"/>
      <c r="AR132" s="24"/>
      <c r="AS132" s="24"/>
      <c r="AT132" s="24"/>
      <c r="AU132" s="24"/>
      <c r="AV132" s="24">
        <f>+'[4]AGOSTO 2016'!$AG$556</f>
        <v>4586738</v>
      </c>
      <c r="AW132" s="25">
        <f t="shared" si="117"/>
        <v>0.45563464503031981</v>
      </c>
      <c r="AX132" s="24">
        <f t="shared" si="144"/>
        <v>125366451</v>
      </c>
      <c r="AY132" s="24">
        <f t="shared" si="157"/>
        <v>0</v>
      </c>
      <c r="AZ132" s="24">
        <f t="shared" si="157"/>
        <v>0</v>
      </c>
      <c r="BA132" s="24">
        <f t="shared" si="157"/>
        <v>0</v>
      </c>
      <c r="BB132" s="24">
        <f t="shared" si="158"/>
        <v>97974405</v>
      </c>
      <c r="BC132" s="24">
        <f t="shared" si="158"/>
        <v>0</v>
      </c>
      <c r="BD132" s="24">
        <f t="shared" si="158"/>
        <v>0</v>
      </c>
      <c r="BE132" s="24">
        <f t="shared" si="158"/>
        <v>0</v>
      </c>
      <c r="BF132" s="24">
        <f t="shared" si="158"/>
        <v>0</v>
      </c>
      <c r="BG132" s="24">
        <f t="shared" si="158"/>
        <v>0</v>
      </c>
      <c r="BH132" s="24">
        <f t="shared" si="158"/>
        <v>0</v>
      </c>
      <c r="BI132" s="24">
        <f t="shared" si="158"/>
        <v>4978784</v>
      </c>
      <c r="BJ132" s="24">
        <f t="shared" si="158"/>
        <v>0</v>
      </c>
      <c r="BK132" s="24">
        <f t="shared" si="158"/>
        <v>0</v>
      </c>
      <c r="BL132" s="24">
        <f t="shared" si="158"/>
        <v>0</v>
      </c>
      <c r="BM132" s="24">
        <f t="shared" si="158"/>
        <v>0</v>
      </c>
      <c r="BN132" s="24"/>
      <c r="BO132" s="24"/>
      <c r="BP132" s="24">
        <f t="shared" si="159"/>
        <v>0</v>
      </c>
      <c r="BQ132" s="24">
        <f t="shared" si="160"/>
        <v>22413262</v>
      </c>
      <c r="BR132" s="25">
        <f t="shared" si="123"/>
        <v>0.34381930480185713</v>
      </c>
      <c r="BS132" s="24">
        <f t="shared" si="149"/>
        <v>94600809</v>
      </c>
      <c r="BT132" s="24"/>
      <c r="BU132" s="24"/>
      <c r="BV132" s="24"/>
      <c r="BW132" s="24"/>
      <c r="BX132" s="24">
        <f>+'[1]SEPTIEMBRE 2016'!$H$680+'[1]SEPTIEMBRE 2016'!$H$684+'[1]SEPTIEMBRE 2016'!$H$686+'[1]SEPTIEMBRE 2016'!$H$688+'[1]SEPTIEMBRE 2016'!$H$689+'[1]SEPTIEMBRE 2016'!$H$735+'[1]SEPTIEMBRE 2016'!$H$736+'[1]SEPTIEMBRE 2016'!$H$739+'[1]SEPTIEMBRE 2016'!$H$740+'[1]SEPTIEMBRE 2016'!$H$747+'[1]SEPTIEMBRE 2016'!$H$748</f>
        <v>90014071</v>
      </c>
      <c r="BY132" s="24"/>
      <c r="BZ132" s="24"/>
      <c r="CA132" s="24"/>
      <c r="CB132" s="24"/>
      <c r="CC132" s="24"/>
      <c r="CD132" s="24"/>
      <c r="CE132" s="24"/>
      <c r="CF132" s="24"/>
      <c r="CG132" s="24"/>
      <c r="CH132" s="24"/>
      <c r="CI132" s="24"/>
      <c r="CJ132" s="24"/>
      <c r="CK132" s="24"/>
      <c r="CL132" s="24"/>
      <c r="CM132" s="24">
        <f>'[4]AGOSTO 2016'!$AG$606+'[4]AGOSTO 2016'!$H$615+'[4]AGOSTO 2016'!$H$616</f>
        <v>4586738</v>
      </c>
      <c r="CN132" s="25">
        <f t="shared" si="125"/>
        <v>0.65618069519814282</v>
      </c>
      <c r="CO132" s="24">
        <f t="shared" si="150"/>
        <v>180546071</v>
      </c>
      <c r="CP132" s="24">
        <f t="shared" si="161"/>
        <v>0</v>
      </c>
      <c r="CQ132" s="24">
        <f t="shared" si="161"/>
        <v>0</v>
      </c>
      <c r="CR132" s="24">
        <f t="shared" si="161"/>
        <v>0</v>
      </c>
      <c r="CS132" s="24">
        <f t="shared" si="161"/>
        <v>153154025</v>
      </c>
      <c r="CT132" s="24">
        <f t="shared" si="161"/>
        <v>0</v>
      </c>
      <c r="CU132" s="24">
        <f t="shared" si="161"/>
        <v>0</v>
      </c>
      <c r="CV132" s="24">
        <f t="shared" si="162"/>
        <v>0</v>
      </c>
      <c r="CW132" s="24">
        <f t="shared" si="162"/>
        <v>0</v>
      </c>
      <c r="CX132" s="24">
        <f t="shared" si="162"/>
        <v>0</v>
      </c>
      <c r="CY132" s="24">
        <f t="shared" si="163"/>
        <v>0</v>
      </c>
      <c r="CZ132" s="24">
        <f t="shared" si="163"/>
        <v>4978784</v>
      </c>
      <c r="DA132" s="24">
        <f t="shared" si="163"/>
        <v>0</v>
      </c>
      <c r="DB132" s="24">
        <f t="shared" si="164"/>
        <v>0</v>
      </c>
      <c r="DC132" s="24">
        <f t="shared" si="164"/>
        <v>0</v>
      </c>
      <c r="DD132" s="24">
        <f t="shared" si="164"/>
        <v>0</v>
      </c>
      <c r="DE132" s="24"/>
      <c r="DF132" s="24">
        <f t="shared" si="165"/>
        <v>0</v>
      </c>
      <c r="DG132" s="24">
        <f t="shared" si="165"/>
        <v>0</v>
      </c>
      <c r="DH132" s="24">
        <f t="shared" si="165"/>
        <v>22413262</v>
      </c>
      <c r="DJ132" s="277"/>
      <c r="DK132" s="277"/>
      <c r="DL132" s="196">
        <f t="shared" si="104"/>
        <v>275146880</v>
      </c>
      <c r="DM132" s="197">
        <f t="shared" si="105"/>
        <v>94600809</v>
      </c>
      <c r="DN132" s="194" t="s">
        <v>404</v>
      </c>
    </row>
    <row r="133" spans="1:118" s="43" customFormat="1" ht="18.75" customHeight="1" thickTop="1" thickBot="1" x14ac:dyDescent="0.3">
      <c r="A133" s="97"/>
      <c r="B133" s="288" t="s">
        <v>392</v>
      </c>
      <c r="C133" s="289"/>
      <c r="D133" s="289"/>
      <c r="E133" s="98"/>
      <c r="F133" s="99"/>
      <c r="G133" s="61">
        <f t="shared" ref="G133:Z133" si="166">SUM(G114:G132)</f>
        <v>12803395182</v>
      </c>
      <c r="H133" s="61">
        <f t="shared" si="166"/>
        <v>0</v>
      </c>
      <c r="I133" s="61">
        <f t="shared" si="166"/>
        <v>7357828308</v>
      </c>
      <c r="J133" s="61">
        <f t="shared" si="166"/>
        <v>171003327</v>
      </c>
      <c r="K133" s="61">
        <f t="shared" si="166"/>
        <v>630168096</v>
      </c>
      <c r="L133" s="61">
        <f t="shared" si="166"/>
        <v>0</v>
      </c>
      <c r="M133" s="61">
        <f t="shared" si="166"/>
        <v>54387</v>
      </c>
      <c r="N133" s="61">
        <f t="shared" si="166"/>
        <v>30665828</v>
      </c>
      <c r="O133" s="61">
        <f t="shared" si="166"/>
        <v>1940856</v>
      </c>
      <c r="P133" s="61">
        <f t="shared" si="166"/>
        <v>3438802</v>
      </c>
      <c r="Q133" s="61">
        <f t="shared" si="166"/>
        <v>345941457</v>
      </c>
      <c r="R133" s="61">
        <f t="shared" si="166"/>
        <v>4978784</v>
      </c>
      <c r="S133" s="61">
        <f t="shared" si="166"/>
        <v>390000000</v>
      </c>
      <c r="T133" s="61">
        <f t="shared" si="166"/>
        <v>485000000</v>
      </c>
      <c r="U133" s="61">
        <f t="shared" si="166"/>
        <v>6000000</v>
      </c>
      <c r="V133" s="61">
        <f t="shared" si="166"/>
        <v>0</v>
      </c>
      <c r="W133" s="61">
        <f t="shared" si="166"/>
        <v>0</v>
      </c>
      <c r="X133" s="61">
        <f t="shared" si="166"/>
        <v>2700000000</v>
      </c>
      <c r="Y133" s="61">
        <f t="shared" si="166"/>
        <v>0</v>
      </c>
      <c r="Z133" s="61">
        <f t="shared" si="166"/>
        <v>676375337</v>
      </c>
      <c r="AA133" s="39">
        <f t="shared" si="115"/>
        <v>0.68109361712584526</v>
      </c>
      <c r="AB133" s="61">
        <f>SUM(AB114:AB132)</f>
        <v>8720310736</v>
      </c>
      <c r="AC133" s="61"/>
      <c r="AD133" s="61">
        <f t="shared" ref="AD133:AV133" si="167">SUM(AD114:AD132)</f>
        <v>0</v>
      </c>
      <c r="AE133" s="61">
        <f t="shared" si="167"/>
        <v>4602133245</v>
      </c>
      <c r="AF133" s="61">
        <f t="shared" si="167"/>
        <v>147809410</v>
      </c>
      <c r="AG133" s="61">
        <f t="shared" si="167"/>
        <v>525161691</v>
      </c>
      <c r="AH133" s="61">
        <f t="shared" si="167"/>
        <v>0</v>
      </c>
      <c r="AI133" s="61">
        <f t="shared" si="167"/>
        <v>0</v>
      </c>
      <c r="AJ133" s="61">
        <f t="shared" si="167"/>
        <v>0</v>
      </c>
      <c r="AK133" s="61">
        <f t="shared" si="167"/>
        <v>0</v>
      </c>
      <c r="AL133" s="61">
        <f t="shared" si="167"/>
        <v>300000</v>
      </c>
      <c r="AM133" s="61">
        <f t="shared" si="167"/>
        <v>164856575</v>
      </c>
      <c r="AN133" s="61">
        <f t="shared" si="167"/>
        <v>0</v>
      </c>
      <c r="AO133" s="61">
        <f t="shared" si="167"/>
        <v>250000000</v>
      </c>
      <c r="AP133" s="61">
        <f t="shared" si="167"/>
        <v>451915027</v>
      </c>
      <c r="AQ133" s="61">
        <f t="shared" si="167"/>
        <v>0</v>
      </c>
      <c r="AR133" s="61">
        <f t="shared" si="167"/>
        <v>0</v>
      </c>
      <c r="AS133" s="61">
        <f t="shared" si="167"/>
        <v>0</v>
      </c>
      <c r="AT133" s="61">
        <f t="shared" si="167"/>
        <v>2399143215</v>
      </c>
      <c r="AU133" s="61">
        <f t="shared" si="167"/>
        <v>0</v>
      </c>
      <c r="AV133" s="61">
        <f t="shared" si="167"/>
        <v>178991573</v>
      </c>
      <c r="AW133" s="39">
        <f t="shared" si="117"/>
        <v>0.31890638287415474</v>
      </c>
      <c r="AX133" s="61">
        <f>SUM(AX114:AX132)</f>
        <v>4083084446</v>
      </c>
      <c r="AY133" s="61">
        <f t="shared" ref="AY133:BQ133" si="168">SUM(AY114:AY132)</f>
        <v>0</v>
      </c>
      <c r="AZ133" s="61">
        <f t="shared" si="168"/>
        <v>2755695063</v>
      </c>
      <c r="BA133" s="61">
        <f t="shared" si="168"/>
        <v>23193917</v>
      </c>
      <c r="BB133" s="61">
        <f t="shared" si="168"/>
        <v>105006405</v>
      </c>
      <c r="BC133" s="61">
        <f t="shared" si="168"/>
        <v>0</v>
      </c>
      <c r="BD133" s="61">
        <f t="shared" si="168"/>
        <v>54387</v>
      </c>
      <c r="BE133" s="61">
        <f t="shared" si="168"/>
        <v>30665828</v>
      </c>
      <c r="BF133" s="61">
        <f t="shared" si="168"/>
        <v>1940856</v>
      </c>
      <c r="BG133" s="61">
        <f t="shared" si="168"/>
        <v>3138802</v>
      </c>
      <c r="BH133" s="61">
        <f t="shared" si="168"/>
        <v>181084882</v>
      </c>
      <c r="BI133" s="61">
        <f t="shared" si="168"/>
        <v>4978784</v>
      </c>
      <c r="BJ133" s="61">
        <f t="shared" si="168"/>
        <v>140000000</v>
      </c>
      <c r="BK133" s="61">
        <f t="shared" si="168"/>
        <v>33084973</v>
      </c>
      <c r="BL133" s="61">
        <f t="shared" si="168"/>
        <v>6000000</v>
      </c>
      <c r="BM133" s="61">
        <f t="shared" si="168"/>
        <v>0</v>
      </c>
      <c r="BN133" s="61">
        <f t="shared" si="168"/>
        <v>0</v>
      </c>
      <c r="BO133" s="61">
        <f t="shared" si="168"/>
        <v>300856785</v>
      </c>
      <c r="BP133" s="61">
        <f t="shared" si="168"/>
        <v>0</v>
      </c>
      <c r="BQ133" s="61">
        <f t="shared" si="168"/>
        <v>497383764</v>
      </c>
      <c r="BR133" s="39">
        <f t="shared" si="123"/>
        <v>0.45602872605295486</v>
      </c>
      <c r="BS133" s="61">
        <f t="shared" ref="BS133:CI133" si="169">SUM(BS114:BS132)</f>
        <v>5838715994</v>
      </c>
      <c r="BT133" s="61">
        <f t="shared" si="169"/>
        <v>0</v>
      </c>
      <c r="BU133" s="61">
        <f t="shared" si="169"/>
        <v>0</v>
      </c>
      <c r="BV133" s="61">
        <f t="shared" si="169"/>
        <v>3818217810</v>
      </c>
      <c r="BW133" s="61">
        <f t="shared" si="169"/>
        <v>147809402</v>
      </c>
      <c r="BX133" s="61">
        <f t="shared" si="169"/>
        <v>459092511</v>
      </c>
      <c r="BY133" s="61">
        <f t="shared" si="169"/>
        <v>0</v>
      </c>
      <c r="BZ133" s="61">
        <f t="shared" si="169"/>
        <v>0</v>
      </c>
      <c r="CA133" s="61">
        <f t="shared" si="169"/>
        <v>0</v>
      </c>
      <c r="CB133" s="61">
        <f t="shared" si="169"/>
        <v>0</v>
      </c>
      <c r="CC133" s="61">
        <f t="shared" si="169"/>
        <v>300000</v>
      </c>
      <c r="CD133" s="61">
        <f t="shared" si="169"/>
        <v>130112725</v>
      </c>
      <c r="CE133" s="61">
        <f t="shared" si="169"/>
        <v>0</v>
      </c>
      <c r="CF133" s="61">
        <f t="shared" si="169"/>
        <v>249680327</v>
      </c>
      <c r="CG133" s="61">
        <f t="shared" si="169"/>
        <v>451915027</v>
      </c>
      <c r="CH133" s="61">
        <f t="shared" si="169"/>
        <v>0</v>
      </c>
      <c r="CI133" s="61">
        <f t="shared" si="169"/>
        <v>0</v>
      </c>
      <c r="CJ133" s="61"/>
      <c r="CK133" s="61">
        <f>SUM(CK114:CK132)</f>
        <v>429051059</v>
      </c>
      <c r="CL133" s="61">
        <f>SUM(CL114:CL132)</f>
        <v>0</v>
      </c>
      <c r="CM133" s="61">
        <f>SUM(CM114:CM132)</f>
        <v>152537133</v>
      </c>
      <c r="CN133" s="39">
        <f t="shared" si="125"/>
        <v>0.54397127394704514</v>
      </c>
      <c r="CO133" s="61">
        <f t="shared" ref="CO133:DH133" si="170">SUM(CO114:CO132)</f>
        <v>6964679188</v>
      </c>
      <c r="CP133" s="61">
        <f t="shared" si="170"/>
        <v>0</v>
      </c>
      <c r="CQ133" s="61">
        <f t="shared" si="170"/>
        <v>3539610498</v>
      </c>
      <c r="CR133" s="61">
        <f t="shared" si="170"/>
        <v>23193925</v>
      </c>
      <c r="CS133" s="61">
        <f t="shared" si="170"/>
        <v>171075585</v>
      </c>
      <c r="CT133" s="61">
        <f t="shared" si="170"/>
        <v>0</v>
      </c>
      <c r="CU133" s="61">
        <f t="shared" si="170"/>
        <v>54387</v>
      </c>
      <c r="CV133" s="61">
        <f t="shared" si="170"/>
        <v>30665828</v>
      </c>
      <c r="CW133" s="61">
        <f t="shared" si="170"/>
        <v>1940856</v>
      </c>
      <c r="CX133" s="61">
        <f t="shared" si="170"/>
        <v>3138802</v>
      </c>
      <c r="CY133" s="61">
        <f t="shared" si="170"/>
        <v>215828732</v>
      </c>
      <c r="CZ133" s="61">
        <f t="shared" si="170"/>
        <v>4978784</v>
      </c>
      <c r="DA133" s="61">
        <f t="shared" si="170"/>
        <v>140319673</v>
      </c>
      <c r="DB133" s="61">
        <f t="shared" si="170"/>
        <v>33084973</v>
      </c>
      <c r="DC133" s="61">
        <f t="shared" si="170"/>
        <v>6000000</v>
      </c>
      <c r="DD133" s="61">
        <f t="shared" si="170"/>
        <v>0</v>
      </c>
      <c r="DE133" s="61">
        <f t="shared" si="170"/>
        <v>0</v>
      </c>
      <c r="DF133" s="61">
        <f t="shared" si="170"/>
        <v>2270948941</v>
      </c>
      <c r="DG133" s="61">
        <f t="shared" si="170"/>
        <v>0</v>
      </c>
      <c r="DH133" s="61">
        <f t="shared" si="170"/>
        <v>523838204</v>
      </c>
      <c r="DJ133" s="77" t="s">
        <v>409</v>
      </c>
      <c r="DK133" s="77"/>
      <c r="DL133" s="196">
        <f t="shared" si="104"/>
        <v>12803395182</v>
      </c>
      <c r="DM133" s="197">
        <f t="shared" si="105"/>
        <v>5838715994</v>
      </c>
      <c r="DN133" s="198">
        <f>+BR133</f>
        <v>0.45602872605295486</v>
      </c>
    </row>
    <row r="134" spans="1:118" ht="5.25" customHeight="1" thickTop="1" x14ac:dyDescent="0.25">
      <c r="C134" s="100"/>
      <c r="D134" s="100"/>
      <c r="E134" s="100"/>
      <c r="F134" s="100"/>
      <c r="G134" s="101"/>
      <c r="H134" s="101"/>
      <c r="I134" s="102"/>
      <c r="J134" s="101"/>
      <c r="K134" s="103"/>
      <c r="L134" s="103"/>
      <c r="M134" s="103"/>
      <c r="N134" s="103"/>
      <c r="O134" s="103"/>
      <c r="P134" s="103"/>
      <c r="Q134" s="103"/>
      <c r="R134" s="103"/>
      <c r="S134" s="103"/>
      <c r="T134" s="103"/>
      <c r="U134" s="103"/>
      <c r="V134" s="103"/>
      <c r="W134" s="103"/>
      <c r="X134" s="103"/>
      <c r="Y134" s="103"/>
      <c r="Z134" s="103"/>
      <c r="AA134" s="104"/>
      <c r="AB134" s="47"/>
      <c r="AC134" s="47"/>
      <c r="AD134" s="47"/>
      <c r="AE134" s="47"/>
      <c r="AF134" s="47"/>
      <c r="AG134" s="47"/>
      <c r="AH134" s="47"/>
      <c r="AI134" s="47"/>
      <c r="AJ134" s="47"/>
      <c r="AK134" s="47"/>
      <c r="AL134" s="47"/>
      <c r="AM134" s="47"/>
      <c r="AN134" s="47"/>
      <c r="AO134" s="47"/>
      <c r="AP134" s="47"/>
      <c r="AQ134" s="47"/>
      <c r="AR134" s="47"/>
      <c r="AS134" s="47"/>
      <c r="AT134" s="47"/>
      <c r="AU134" s="47"/>
      <c r="AV134" s="47"/>
      <c r="AW134" s="104"/>
      <c r="AX134" s="47"/>
      <c r="AY134" s="47"/>
      <c r="AZ134" s="47"/>
      <c r="BA134" s="47"/>
      <c r="BB134" s="47"/>
      <c r="BC134" s="47"/>
      <c r="BD134" s="47"/>
      <c r="BE134" s="47"/>
      <c r="BF134" s="47"/>
      <c r="BG134" s="47"/>
      <c r="BH134" s="47"/>
      <c r="BI134" s="47"/>
      <c r="BJ134" s="47"/>
      <c r="BK134" s="47"/>
      <c r="BL134" s="47"/>
      <c r="BM134" s="47"/>
      <c r="BN134" s="47"/>
      <c r="BO134" s="47"/>
      <c r="BP134" s="47"/>
      <c r="BQ134" s="47"/>
      <c r="BR134" s="104"/>
      <c r="BS134" s="105"/>
      <c r="BT134" s="47"/>
      <c r="BU134" s="47"/>
      <c r="BV134" s="47"/>
      <c r="BW134" s="47"/>
      <c r="BX134" s="47"/>
      <c r="BY134" s="47"/>
      <c r="BZ134" s="47"/>
      <c r="CA134" s="47"/>
      <c r="CB134" s="47"/>
      <c r="CC134" s="47"/>
      <c r="CD134" s="47"/>
      <c r="CE134" s="47"/>
      <c r="CF134" s="47"/>
      <c r="CG134" s="47"/>
      <c r="CH134" s="47"/>
      <c r="CI134" s="47"/>
      <c r="CJ134" s="47"/>
      <c r="CK134" s="47"/>
      <c r="CL134" s="47"/>
      <c r="CM134" s="47"/>
      <c r="CN134" s="104"/>
      <c r="CO134" s="47"/>
      <c r="CP134" s="47"/>
      <c r="CQ134" s="47"/>
      <c r="CR134" s="47"/>
      <c r="CS134" s="47"/>
      <c r="CT134" s="47"/>
      <c r="CU134" s="47"/>
      <c r="CV134" s="47"/>
      <c r="CW134" s="47"/>
      <c r="CX134" s="47"/>
      <c r="CY134" s="47"/>
      <c r="CZ134" s="47"/>
      <c r="DA134" s="47"/>
      <c r="DB134" s="47"/>
      <c r="DC134" s="47"/>
      <c r="DD134" s="47"/>
      <c r="DE134" s="47"/>
      <c r="DF134" s="47"/>
      <c r="DG134" s="47"/>
      <c r="DH134" s="47"/>
      <c r="DJ134" s="278"/>
      <c r="DK134" s="278"/>
      <c r="DL134" s="196"/>
      <c r="DM134" s="196"/>
      <c r="DN134" s="198"/>
    </row>
    <row r="135" spans="1:118" ht="19.5" customHeight="1" x14ac:dyDescent="0.25">
      <c r="C135" s="255" t="s">
        <v>372</v>
      </c>
      <c r="D135" s="256"/>
      <c r="E135" s="257"/>
      <c r="F135" s="106"/>
      <c r="G135" s="47">
        <f t="shared" ref="G135:Z135" si="171">G20+G60+G93+G113+G133</f>
        <v>24962031699</v>
      </c>
      <c r="H135" s="47">
        <f t="shared" si="171"/>
        <v>200000000</v>
      </c>
      <c r="I135" s="47">
        <f t="shared" si="171"/>
        <v>10524093099</v>
      </c>
      <c r="J135" s="47">
        <f t="shared" si="171"/>
        <v>171003327</v>
      </c>
      <c r="K135" s="47">
        <f t="shared" si="171"/>
        <v>2601016897</v>
      </c>
      <c r="L135" s="47">
        <f t="shared" si="171"/>
        <v>138372986</v>
      </c>
      <c r="M135" s="47">
        <f t="shared" si="171"/>
        <v>54387</v>
      </c>
      <c r="N135" s="47">
        <f t="shared" si="171"/>
        <v>30665828</v>
      </c>
      <c r="O135" s="47">
        <f t="shared" si="171"/>
        <v>1940856</v>
      </c>
      <c r="P135" s="47">
        <f t="shared" si="171"/>
        <v>3438802</v>
      </c>
      <c r="Q135" s="47">
        <f t="shared" si="171"/>
        <v>345941457</v>
      </c>
      <c r="R135" s="47">
        <f t="shared" si="171"/>
        <v>2094582849</v>
      </c>
      <c r="S135" s="47">
        <f t="shared" si="171"/>
        <v>1142029623</v>
      </c>
      <c r="T135" s="47">
        <f t="shared" si="171"/>
        <v>486796640</v>
      </c>
      <c r="U135" s="47">
        <f t="shared" si="171"/>
        <v>1306076765</v>
      </c>
      <c r="V135" s="47">
        <f t="shared" si="171"/>
        <v>1262551657</v>
      </c>
      <c r="W135" s="47">
        <f t="shared" si="171"/>
        <v>51295383</v>
      </c>
      <c r="X135" s="47">
        <f t="shared" si="171"/>
        <v>2700000000</v>
      </c>
      <c r="Y135" s="47">
        <f t="shared" si="171"/>
        <v>204741836</v>
      </c>
      <c r="Z135" s="47">
        <f t="shared" si="171"/>
        <v>1697429307</v>
      </c>
      <c r="AA135" s="107">
        <f>+AB135/G135</f>
        <v>0.75848075650663005</v>
      </c>
      <c r="AB135" s="47">
        <f>AB20+AB60+AB93+AB113+AB133</f>
        <v>18933220687</v>
      </c>
      <c r="AC135" s="47"/>
      <c r="AD135" s="47">
        <f t="shared" ref="AD135:AV135" si="172">AD20+AD60+AD93+AD113+AD133</f>
        <v>198408143</v>
      </c>
      <c r="AE135" s="47">
        <f t="shared" si="172"/>
        <v>6912103504</v>
      </c>
      <c r="AF135" s="47">
        <f t="shared" si="172"/>
        <v>147809410</v>
      </c>
      <c r="AG135" s="47">
        <f t="shared" si="172"/>
        <v>2318994702</v>
      </c>
      <c r="AH135" s="47">
        <f t="shared" si="172"/>
        <v>106863498</v>
      </c>
      <c r="AI135" s="47">
        <f t="shared" si="172"/>
        <v>0</v>
      </c>
      <c r="AJ135" s="47">
        <f t="shared" si="172"/>
        <v>0</v>
      </c>
      <c r="AK135" s="47">
        <f t="shared" si="172"/>
        <v>0</v>
      </c>
      <c r="AL135" s="47">
        <f t="shared" si="172"/>
        <v>300000</v>
      </c>
      <c r="AM135" s="47">
        <f t="shared" si="172"/>
        <v>164856575</v>
      </c>
      <c r="AN135" s="47">
        <f t="shared" si="172"/>
        <v>1974981668</v>
      </c>
      <c r="AO135" s="47">
        <f t="shared" si="172"/>
        <v>885432962</v>
      </c>
      <c r="AP135" s="47">
        <f t="shared" si="172"/>
        <v>453711667</v>
      </c>
      <c r="AQ135" s="47">
        <f t="shared" si="172"/>
        <v>1060918457</v>
      </c>
      <c r="AR135" s="47">
        <f t="shared" si="172"/>
        <v>1158469451</v>
      </c>
      <c r="AS135" s="47">
        <f t="shared" si="172"/>
        <v>51295383</v>
      </c>
      <c r="AT135" s="47">
        <f t="shared" si="172"/>
        <v>2399143215</v>
      </c>
      <c r="AU135" s="47">
        <f t="shared" si="172"/>
        <v>114321836</v>
      </c>
      <c r="AV135" s="47">
        <f t="shared" si="172"/>
        <v>985610216</v>
      </c>
      <c r="AW135" s="108">
        <f>1-AA135</f>
        <v>0.24151924349336995</v>
      </c>
      <c r="AX135" s="47">
        <f t="shared" ref="AX135:BQ135" si="173">AX20+AX60+AX93+AX113+AX133</f>
        <v>6028811012</v>
      </c>
      <c r="AY135" s="47">
        <f t="shared" si="173"/>
        <v>1591857</v>
      </c>
      <c r="AZ135" s="47">
        <f t="shared" si="173"/>
        <v>3611989595</v>
      </c>
      <c r="BA135" s="47">
        <f t="shared" si="173"/>
        <v>23193917</v>
      </c>
      <c r="BB135" s="47">
        <f t="shared" si="173"/>
        <v>282022195</v>
      </c>
      <c r="BC135" s="47">
        <f t="shared" si="173"/>
        <v>31509488</v>
      </c>
      <c r="BD135" s="47">
        <f t="shared" si="173"/>
        <v>54387</v>
      </c>
      <c r="BE135" s="47">
        <f t="shared" si="173"/>
        <v>30665828</v>
      </c>
      <c r="BF135" s="47">
        <f t="shared" si="173"/>
        <v>1940856</v>
      </c>
      <c r="BG135" s="47">
        <f t="shared" si="173"/>
        <v>3138802</v>
      </c>
      <c r="BH135" s="47">
        <f t="shared" si="173"/>
        <v>181084882</v>
      </c>
      <c r="BI135" s="47">
        <f t="shared" si="173"/>
        <v>119601181</v>
      </c>
      <c r="BJ135" s="47">
        <f t="shared" si="173"/>
        <v>256596661</v>
      </c>
      <c r="BK135" s="47">
        <f t="shared" si="173"/>
        <v>33084973</v>
      </c>
      <c r="BL135" s="47">
        <f t="shared" si="173"/>
        <v>245158308</v>
      </c>
      <c r="BM135" s="47">
        <f t="shared" si="173"/>
        <v>104082206</v>
      </c>
      <c r="BN135" s="47">
        <f t="shared" si="173"/>
        <v>0</v>
      </c>
      <c r="BO135" s="47">
        <f t="shared" si="173"/>
        <v>300856785</v>
      </c>
      <c r="BP135" s="47">
        <f t="shared" si="173"/>
        <v>90420000</v>
      </c>
      <c r="BQ135" s="47">
        <f t="shared" si="173"/>
        <v>711819091</v>
      </c>
      <c r="BR135" s="108">
        <f>+BS135/G135</f>
        <v>0.57085150687357122</v>
      </c>
      <c r="BS135" s="47">
        <f t="shared" ref="BS135:CM135" si="174">BS20+BS60+BS93+BS113+BS133</f>
        <v>14249613410</v>
      </c>
      <c r="BT135" s="47">
        <f t="shared" si="174"/>
        <v>0</v>
      </c>
      <c r="BU135" s="47">
        <f t="shared" si="174"/>
        <v>198408143</v>
      </c>
      <c r="BV135" s="47">
        <f t="shared" si="174"/>
        <v>5486815419</v>
      </c>
      <c r="BW135" s="47">
        <f t="shared" si="174"/>
        <v>147809402</v>
      </c>
      <c r="BX135" s="47">
        <f t="shared" si="174"/>
        <v>2097989036</v>
      </c>
      <c r="BY135" s="47">
        <f t="shared" si="174"/>
        <v>106769230</v>
      </c>
      <c r="BZ135" s="47">
        <f t="shared" si="174"/>
        <v>0</v>
      </c>
      <c r="CA135" s="47">
        <f t="shared" si="174"/>
        <v>0</v>
      </c>
      <c r="CB135" s="47">
        <f t="shared" si="174"/>
        <v>0</v>
      </c>
      <c r="CC135" s="47">
        <f t="shared" si="174"/>
        <v>300000</v>
      </c>
      <c r="CD135" s="47">
        <f t="shared" si="174"/>
        <v>130112725</v>
      </c>
      <c r="CE135" s="47">
        <f t="shared" si="174"/>
        <v>1388135369</v>
      </c>
      <c r="CF135" s="47">
        <f t="shared" si="174"/>
        <v>867625319</v>
      </c>
      <c r="CG135" s="47">
        <f t="shared" si="174"/>
        <v>453711667</v>
      </c>
      <c r="CH135" s="47">
        <f t="shared" si="174"/>
        <v>934853833</v>
      </c>
      <c r="CI135" s="47">
        <f t="shared" si="174"/>
        <v>1044337414</v>
      </c>
      <c r="CJ135" s="47">
        <f t="shared" si="174"/>
        <v>5867630</v>
      </c>
      <c r="CK135" s="47">
        <f t="shared" si="174"/>
        <v>429051059</v>
      </c>
      <c r="CL135" s="47">
        <f t="shared" si="174"/>
        <v>23350298</v>
      </c>
      <c r="CM135" s="47">
        <f t="shared" si="174"/>
        <v>934476866</v>
      </c>
      <c r="CN135" s="25">
        <f>1-BR135</f>
        <v>0.42914849312642878</v>
      </c>
      <c r="CO135" s="47">
        <f t="shared" ref="CO135:DH135" si="175">CO20+CO60+CO93+CO113+CO133</f>
        <v>10712418289</v>
      </c>
      <c r="CP135" s="47">
        <f t="shared" si="175"/>
        <v>1591857</v>
      </c>
      <c r="CQ135" s="47">
        <f t="shared" si="175"/>
        <v>5037277680</v>
      </c>
      <c r="CR135" s="47">
        <f t="shared" si="175"/>
        <v>23193925</v>
      </c>
      <c r="CS135" s="47">
        <f t="shared" si="175"/>
        <v>503027861</v>
      </c>
      <c r="CT135" s="47">
        <f t="shared" si="175"/>
        <v>31603756</v>
      </c>
      <c r="CU135" s="47">
        <f t="shared" si="175"/>
        <v>54387</v>
      </c>
      <c r="CV135" s="47">
        <f t="shared" si="175"/>
        <v>30665828</v>
      </c>
      <c r="CW135" s="47">
        <f t="shared" si="175"/>
        <v>1940856</v>
      </c>
      <c r="CX135" s="47">
        <f t="shared" si="175"/>
        <v>3138802</v>
      </c>
      <c r="CY135" s="47">
        <f t="shared" si="175"/>
        <v>215828732</v>
      </c>
      <c r="CZ135" s="47">
        <f t="shared" si="175"/>
        <v>706447480</v>
      </c>
      <c r="DA135" s="47">
        <f t="shared" si="175"/>
        <v>274404304</v>
      </c>
      <c r="DB135" s="47">
        <f t="shared" si="175"/>
        <v>33084973</v>
      </c>
      <c r="DC135" s="47">
        <f t="shared" si="175"/>
        <v>371222932</v>
      </c>
      <c r="DD135" s="47">
        <f t="shared" si="175"/>
        <v>218214243</v>
      </c>
      <c r="DE135" s="47">
        <f t="shared" si="175"/>
        <v>45427753</v>
      </c>
      <c r="DF135" s="47">
        <f t="shared" si="175"/>
        <v>2270948941</v>
      </c>
      <c r="DG135" s="47">
        <f t="shared" si="175"/>
        <v>181391538</v>
      </c>
      <c r="DH135" s="47">
        <f t="shared" si="175"/>
        <v>762952441</v>
      </c>
      <c r="DJ135" s="276" t="s">
        <v>15</v>
      </c>
      <c r="DK135" s="276"/>
      <c r="DL135" s="196">
        <f>DL20+DL60+DL93+DL113+DL133</f>
        <v>24962031699</v>
      </c>
      <c r="DM135" s="196">
        <f>DM20+DM60+DM93+DM113+DM133</f>
        <v>14249613410</v>
      </c>
      <c r="DN135" s="198">
        <f>+BR135</f>
        <v>0.57085150687357122</v>
      </c>
    </row>
    <row r="136" spans="1:118" ht="5.25" customHeight="1" x14ac:dyDescent="0.25">
      <c r="C136" s="109"/>
      <c r="D136" s="109"/>
      <c r="E136" s="110"/>
      <c r="F136" s="110"/>
      <c r="G136" s="111"/>
      <c r="H136" s="111"/>
      <c r="I136" s="112"/>
      <c r="J136" s="111"/>
      <c r="K136" s="113"/>
      <c r="L136" s="113"/>
      <c r="M136" s="113"/>
      <c r="N136" s="113"/>
      <c r="O136" s="113"/>
      <c r="P136" s="113"/>
      <c r="Q136" s="113"/>
      <c r="R136" s="113"/>
      <c r="S136" s="113"/>
      <c r="T136" s="113"/>
      <c r="U136" s="113"/>
      <c r="V136" s="113"/>
      <c r="W136" s="113"/>
      <c r="X136" s="113"/>
      <c r="Y136" s="113"/>
      <c r="Z136" s="113"/>
      <c r="AA136" s="114"/>
      <c r="AB136" s="115"/>
      <c r="AC136" s="115"/>
      <c r="AD136" s="115"/>
      <c r="AE136" s="115"/>
      <c r="AF136" s="115"/>
      <c r="AG136" s="113"/>
      <c r="AH136" s="113"/>
      <c r="AI136" s="113"/>
      <c r="AJ136" s="113"/>
      <c r="AK136" s="113"/>
      <c r="AL136" s="113"/>
      <c r="AM136" s="113"/>
      <c r="AN136" s="113"/>
      <c r="AO136" s="113"/>
      <c r="AP136" s="113"/>
      <c r="AQ136" s="113"/>
      <c r="AR136" s="113"/>
      <c r="AS136" s="113"/>
      <c r="AT136" s="113"/>
      <c r="AU136" s="113"/>
      <c r="AV136" s="113"/>
      <c r="AW136" s="114"/>
      <c r="AX136" s="115"/>
      <c r="AY136" s="115"/>
      <c r="AZ136" s="115"/>
      <c r="BA136" s="115"/>
      <c r="BB136" s="116"/>
      <c r="BC136" s="116"/>
      <c r="BD136" s="116"/>
      <c r="BE136" s="116"/>
      <c r="BF136" s="116"/>
      <c r="BG136" s="116"/>
      <c r="BH136" s="116"/>
      <c r="BI136" s="116"/>
      <c r="BJ136" s="116"/>
      <c r="BK136" s="116"/>
      <c r="BL136" s="116"/>
      <c r="BM136" s="116"/>
      <c r="BN136" s="116"/>
      <c r="BO136" s="116"/>
      <c r="BP136" s="116"/>
      <c r="BQ136" s="116"/>
      <c r="BR136" s="114"/>
      <c r="BS136" s="117"/>
      <c r="BT136" s="118"/>
      <c r="BU136" s="118"/>
      <c r="BV136" s="118"/>
      <c r="BW136" s="118"/>
      <c r="BX136" s="113"/>
      <c r="BY136" s="113"/>
      <c r="BZ136" s="113"/>
      <c r="CA136" s="113"/>
      <c r="CB136" s="113"/>
      <c r="CC136" s="113"/>
      <c r="CD136" s="113"/>
      <c r="CE136" s="113"/>
      <c r="CF136" s="113"/>
      <c r="CG136" s="113"/>
      <c r="CH136" s="113"/>
      <c r="CI136" s="113"/>
      <c r="CJ136" s="113"/>
      <c r="CK136" s="113"/>
      <c r="CL136" s="113"/>
      <c r="CM136" s="113"/>
      <c r="CN136" s="25"/>
      <c r="CO136" s="119"/>
      <c r="CP136" s="115"/>
      <c r="CQ136" s="115"/>
      <c r="CR136" s="115"/>
      <c r="CS136" s="116"/>
      <c r="CT136" s="116"/>
      <c r="CU136" s="116"/>
      <c r="CV136" s="116"/>
      <c r="CW136" s="116"/>
      <c r="CX136" s="116"/>
      <c r="CY136" s="116"/>
      <c r="CZ136" s="116"/>
      <c r="DA136" s="116"/>
      <c r="DB136" s="116"/>
      <c r="DC136" s="116"/>
      <c r="DD136" s="116"/>
      <c r="DE136" s="116"/>
      <c r="DF136" s="116"/>
      <c r="DG136" s="116"/>
      <c r="DH136" s="116"/>
      <c r="DJ136" s="77"/>
      <c r="DK136" s="77"/>
      <c r="DL136" s="196"/>
      <c r="DM136" s="196"/>
      <c r="DN136" s="198"/>
    </row>
    <row r="137" spans="1:118" ht="16.5" customHeight="1" x14ac:dyDescent="0.25">
      <c r="C137" s="120"/>
      <c r="D137" s="121" t="s">
        <v>373</v>
      </c>
      <c r="E137" s="114">
        <v>111</v>
      </c>
      <c r="F137" s="122"/>
      <c r="G137" s="123">
        <f>SUMIF($E$4:$E$132,"111",$G$4:$G$132)</f>
        <v>4952937690</v>
      </c>
      <c r="H137" s="124">
        <f>SUMIF($E$4:$E$133,"111",$H$4:$H$133)</f>
        <v>0</v>
      </c>
      <c r="I137" s="124">
        <f>SUMIF($E$4:$E$133,"111",$I$4:$I$133)</f>
        <v>4130647071</v>
      </c>
      <c r="J137" s="123">
        <f>SUMIF($E$4:$E$132,"111",$J$4:$J$132)</f>
        <v>171003327</v>
      </c>
      <c r="K137" s="122">
        <f>SUMIF($E$4:$E$133,"111",$K$4:$K$133)</f>
        <v>0</v>
      </c>
      <c r="L137" s="122">
        <f>SUMIF($E$4:$E$132,"111",$L$4:$L$132)</f>
        <v>0</v>
      </c>
      <c r="M137" s="122">
        <f>SUMIF($E$4:$E$132,"111",$M$4:$M$132)</f>
        <v>54387</v>
      </c>
      <c r="N137" s="122">
        <f>SUMIF($E$4:$E$132,"111",$N$4:$N$132)</f>
        <v>30665828</v>
      </c>
      <c r="O137" s="122">
        <f>SUMIF($E$4:$E$132,"111",$O$4:$O$132)</f>
        <v>1940856</v>
      </c>
      <c r="P137" s="122">
        <f>SUMIF($E$4:$E$132,"111",$P$4:$P$132)</f>
        <v>3438802</v>
      </c>
      <c r="Q137" s="122">
        <f>SUMIF($E$4:$E$132,"111",$Q$4:$Q$132)</f>
        <v>250509069</v>
      </c>
      <c r="R137" s="122">
        <f>SUMIF($E$4:$E$132,"111",$R$4:$R$132)</f>
        <v>0</v>
      </c>
      <c r="S137" s="122">
        <f>SUMIF($E$4:$E$132,"111",$S$4:$S$132)</f>
        <v>0</v>
      </c>
      <c r="T137" s="122">
        <f>SUMIF($E$4:$E$132,"111",$T$4:$T$132)</f>
        <v>0</v>
      </c>
      <c r="U137" s="122">
        <f>SUMIF($E$4:$E$132,"111",$U$4:$U$132)</f>
        <v>0</v>
      </c>
      <c r="V137" s="122">
        <f>SUMIF($E$4:$E$132,"111",$V$4:$V$132)</f>
        <v>0</v>
      </c>
      <c r="W137" s="122"/>
      <c r="X137" s="122">
        <f>SUMIF($E$4:$E$132,"111",$X$4:$X$132)</f>
        <v>0</v>
      </c>
      <c r="Y137" s="122">
        <f>SUMIF($E$4:$E$132,"111",$Y$4:$Y$132)</f>
        <v>0</v>
      </c>
      <c r="Z137" s="122">
        <f>SUMIF($E$4:$E$132,"111",$Z$4:$Z$132)</f>
        <v>364678350</v>
      </c>
      <c r="AA137" s="125">
        <f t="shared" ref="AA137:AA146" si="176">+AB137/G137</f>
        <v>0.52460505494467469</v>
      </c>
      <c r="AB137" s="28">
        <f t="shared" ref="AB137:AB143" si="177">SUM(AD137:AV137)</f>
        <v>2598336149</v>
      </c>
      <c r="AC137" s="123">
        <f>SUMIF($E$4:$E$132,"111",$AC$4:$AC$132)</f>
        <v>0</v>
      </c>
      <c r="AD137" s="123">
        <f>SUMIF($E$4:$E$132,"111",$AD$4:$AD$132)</f>
        <v>0</v>
      </c>
      <c r="AE137" s="123">
        <f>SUMIF($E$4:$E$132,"111",$AE$4:$AE$132)</f>
        <v>2344813287</v>
      </c>
      <c r="AF137" s="123">
        <f>SUMIF($E$4:$E$132,"111",$AF$4:$AF$132)</f>
        <v>147809410</v>
      </c>
      <c r="AG137" s="123">
        <f>SUMIF($E$4:$E$132,"111",$AG$4:$AG$132)</f>
        <v>0</v>
      </c>
      <c r="AH137" s="123">
        <f>SUMIF($E$4:$E$132,"111",$AH$4:$AH$132)</f>
        <v>0</v>
      </c>
      <c r="AI137" s="123">
        <f>SUMIF($E$4:$E$132,"111",$AI$4:$AI$132)</f>
        <v>0</v>
      </c>
      <c r="AJ137" s="123">
        <f>SUMIF($E$4:$E$132,"111",$AJ$4:$AJ$132)</f>
        <v>0</v>
      </c>
      <c r="AK137" s="123">
        <f>SUMIF($E$4:$E$132,"111",$AK$4:$AK$132)</f>
        <v>0</v>
      </c>
      <c r="AL137" s="123">
        <f>SUMIF($E$4:$E$132,"111",$AL$4:$AL$132)</f>
        <v>300000</v>
      </c>
      <c r="AM137" s="123">
        <f>SUMIF($E$4:$E$132,"111",$AM$4:$AM$132)</f>
        <v>79856575</v>
      </c>
      <c r="AN137" s="123">
        <f>SUMIF($E$4:$E$132,"111",$AN$4:$AN$132)</f>
        <v>0</v>
      </c>
      <c r="AO137" s="123">
        <f>SUMIF($E$4:$E$132,"111",$AO$4:$AO$132)</f>
        <v>0</v>
      </c>
      <c r="AP137" s="123">
        <f>SUMIF($E$4:$E$132,"111",$AP$4:$AP$132)</f>
        <v>0</v>
      </c>
      <c r="AQ137" s="123">
        <f>SUMIF($E$4:$E$132,"111",$AQ$4:$AQ$132)</f>
        <v>0</v>
      </c>
      <c r="AR137" s="123">
        <f>SUMIF($E$4:$E$132,"111",$AQ$4:$AQ$132)</f>
        <v>0</v>
      </c>
      <c r="AS137" s="123">
        <f>SUMIF($E$4:$E$132,"111",$AS$4:$AS$132)</f>
        <v>0</v>
      </c>
      <c r="AT137" s="123">
        <f>SUMIF($E$4:$E$132,"111",$AT$4:$AT$132)</f>
        <v>0</v>
      </c>
      <c r="AU137" s="123">
        <f>SUMIF($E$4:$E$132,"111",$AU$4:$AU$132)</f>
        <v>0</v>
      </c>
      <c r="AV137" s="123">
        <f>SUMIF($E$4:$E$132,"111",$AV$4:$AV$132)</f>
        <v>25556877</v>
      </c>
      <c r="AW137" s="108">
        <f t="shared" ref="AW137:AW146" si="178">1-AA137</f>
        <v>0.47539494505532531</v>
      </c>
      <c r="AX137" s="28">
        <f t="shared" ref="AX137:AX143" si="179">SUM(AY137:BQ137)</f>
        <v>2354601541</v>
      </c>
      <c r="AY137" s="126">
        <f>SUMIF($E$4:$E$132,"111",$AY$4:$AY$132)</f>
        <v>0</v>
      </c>
      <c r="AZ137" s="126">
        <f>SUMIF($E$4:$E$132,"111",$AZ$4:$AZ$132)</f>
        <v>1785833784</v>
      </c>
      <c r="BA137" s="126">
        <f>SUMIF($E$4:$E$132,"111",$BA$4:$BA$132)</f>
        <v>23193917</v>
      </c>
      <c r="BB137" s="126">
        <f>SUMIF($E$4:$E$132,"111",$BB$4:$BB$132)</f>
        <v>0</v>
      </c>
      <c r="BC137" s="126">
        <f>SUMIF($E$4:$E$132,"111",$BC$4:$BC$132)</f>
        <v>0</v>
      </c>
      <c r="BD137" s="126">
        <f>SUMIF($E$4:$E$132,"111",$BD$4:$BD$132)</f>
        <v>54387</v>
      </c>
      <c r="BE137" s="126">
        <f>SUMIF($E$4:$E$133,"111",$BE$4:$BE$133)</f>
        <v>30665828</v>
      </c>
      <c r="BF137" s="126">
        <f>SUMIF($E$4:$E$132,"111",$BF$4:$BF$132)</f>
        <v>1940856</v>
      </c>
      <c r="BG137" s="126">
        <f>SUMIF($E$4:$E$132,"111",$BG$4:$BG$132)</f>
        <v>3138802</v>
      </c>
      <c r="BH137" s="126">
        <f>SUMIF($E$4:$E$132,"111",$BH$4:$BH$132)</f>
        <v>170652494</v>
      </c>
      <c r="BI137" s="126">
        <f>SUMIF($E$4:$E$132,"111",$BI$4:$BI$132)</f>
        <v>0</v>
      </c>
      <c r="BJ137" s="126">
        <f>SUMIF($E$4:$E$132,"111",$BJ$4:$BJ$132)</f>
        <v>0</v>
      </c>
      <c r="BK137" s="126">
        <f>SUMIF($E$4:$E$132,"111",$BK$4:$BK$132)</f>
        <v>0</v>
      </c>
      <c r="BL137" s="126">
        <f>SUMIF($E$4:$E$132,"111",$BL$4:$BL$132)</f>
        <v>0</v>
      </c>
      <c r="BM137" s="126">
        <f>SUMIF($E$4:$E$132,"111",$BM$4:$BM$132)</f>
        <v>0</v>
      </c>
      <c r="BN137" s="126"/>
      <c r="BO137" s="126">
        <f>SUMIF($E$4:$E$132,"111",$BO$4:$BO$132)</f>
        <v>0</v>
      </c>
      <c r="BP137" s="126">
        <f>SUMIF($E$4:$E$132,"111",$BP$4:$BP$132)</f>
        <v>0</v>
      </c>
      <c r="BQ137" s="127">
        <f>SUMIF($E$4:$E$132,"111",$BQ$4:$BQ$132)</f>
        <v>339121473</v>
      </c>
      <c r="BR137" s="128">
        <f t="shared" ref="BR137:BR146" si="180">+BS137/G137</f>
        <v>0.51032410868064038</v>
      </c>
      <c r="BS137" s="33">
        <f t="shared" ref="BS137:BS142" si="181">SUM(BU137:CM137)</f>
        <v>2527603512</v>
      </c>
      <c r="BT137" s="123">
        <f>SUMIF($E$4:$E$132,"111",$BT$4:$BT$132)</f>
        <v>0</v>
      </c>
      <c r="BU137" s="123">
        <f>SUMIF($E$4:$E$132,"111",$BU$4:$BU$132)</f>
        <v>0</v>
      </c>
      <c r="BV137" s="123">
        <f>SUMIF($E$4:$E$132,"111",$BV$4:$BV$132)</f>
        <v>2284964768</v>
      </c>
      <c r="BW137" s="123">
        <f>SUMIF($E$4:$E$132,"111",$BW$4:$BW$132)</f>
        <v>147809402</v>
      </c>
      <c r="BX137" s="123">
        <f>SUMIF($E$4:$E$132,"111",$BX$4:$BX$132)</f>
        <v>0</v>
      </c>
      <c r="BY137" s="123">
        <f>SUMIF($E$4:$E$132,"111",$BY$4:$BY$132)</f>
        <v>0</v>
      </c>
      <c r="BZ137" s="123">
        <f>SUMIF($E$4:$E$132,"111",$BZ$4:$BZ$132)</f>
        <v>0</v>
      </c>
      <c r="CA137" s="123">
        <f>SUMIF($E$4:$E$132,"111",$CA$4:$CA$132)</f>
        <v>0</v>
      </c>
      <c r="CB137" s="123">
        <f>SUMIF($E$4:$E$132,"111",$CB$4:$CB$132)</f>
        <v>0</v>
      </c>
      <c r="CC137" s="123">
        <f>SUMIF($E$4:$E$132,"111",$CC$4:$CC$132)</f>
        <v>300000</v>
      </c>
      <c r="CD137" s="123">
        <f>SUMIF($E$4:$E$132,"111",$CD$4:$CD$132)</f>
        <v>79856575</v>
      </c>
      <c r="CE137" s="123">
        <f>SUMIF($E$4:$E$132,"111",$CE$4:$CE$132)</f>
        <v>0</v>
      </c>
      <c r="CF137" s="123">
        <f>SUMIF($E$4:$E$132,"111",$CF$4:$CF$132)</f>
        <v>0</v>
      </c>
      <c r="CG137" s="123">
        <f>SUMIF($E$4:$E$132,"111",$CG$4:$CG$132)</f>
        <v>0</v>
      </c>
      <c r="CH137" s="123">
        <f>SUMIF($E$4:$E$132,"111",$CH$4:$CH$132)</f>
        <v>0</v>
      </c>
      <c r="CI137" s="123">
        <f>SUMIF($E$4:$E$132,"111",$CI$4:$CI$132)</f>
        <v>0</v>
      </c>
      <c r="CJ137" s="123">
        <f>SUMIF($E$4:$E$132,"111",$CJ$4:$CJ$132)</f>
        <v>0</v>
      </c>
      <c r="CK137" s="123">
        <f>SUMIF($E$4:$E$132,"111",$CK$4:$CK$132)</f>
        <v>0</v>
      </c>
      <c r="CL137" s="123">
        <f>SUMIF($E$4:$E$132,"111",$CL$4:$CL$132)</f>
        <v>0</v>
      </c>
      <c r="CM137" s="129">
        <f>SUMIF($E$4:$E$132,"111",$CM$4:$CM$132)</f>
        <v>14672767</v>
      </c>
      <c r="CN137" s="25">
        <f t="shared" ref="CN137:CN146" si="182">1-BR137</f>
        <v>0.48967589131935962</v>
      </c>
      <c r="CO137" s="28">
        <f t="shared" ref="CO137:CO143" si="183">SUM(CP137:DH137)</f>
        <v>2425334178</v>
      </c>
      <c r="CP137" s="126">
        <f>SUMIF($E$4:$E$132,"111",$CP$4:$CP$132)</f>
        <v>0</v>
      </c>
      <c r="CQ137" s="126">
        <f>SUMIF($E$4:$E$132,"111",$CQ$4:$CQ$132)</f>
        <v>1845682303</v>
      </c>
      <c r="CR137" s="126">
        <f>SUMIF($E$4:$E$132,"111",$CR$4:$CR$132)</f>
        <v>23193925</v>
      </c>
      <c r="CS137" s="126">
        <f>SUMIF($E$4:$E$132,"111",$CS$4:$CS$132)</f>
        <v>0</v>
      </c>
      <c r="CT137" s="126">
        <f>SUMIF($E$4:$E$132,"111",$CT$4:$CT$132)</f>
        <v>0</v>
      </c>
      <c r="CU137" s="126">
        <f>SUMIF($E$4:$E$132,"111",$CU$4:$CU$132)</f>
        <v>54387</v>
      </c>
      <c r="CV137" s="130">
        <f>SUMIF($E$4:$E$132,"111",$CV$4:$CV$132)</f>
        <v>30665828</v>
      </c>
      <c r="CW137" s="130">
        <f>SUMIF($E$4:$E$132,"111",$CW$4:$CW$132)</f>
        <v>1940856</v>
      </c>
      <c r="CX137" s="130">
        <f>SUMIF($E$4:$E$132,"111",$CX$4:$CX$132)</f>
        <v>3138802</v>
      </c>
      <c r="CY137" s="130">
        <f>SUMIF($E$4:$E$132,"111",$CY$4:$CY$132)</f>
        <v>170652494</v>
      </c>
      <c r="CZ137" s="130">
        <f>SUMIF($E$4:$E$132,"111",$CZ$4:$CZ$132)</f>
        <v>0</v>
      </c>
      <c r="DA137" s="130">
        <f>SUMIF($E$4:$E$132,"111",$DA$4:$DA$132)</f>
        <v>0</v>
      </c>
      <c r="DB137" s="130">
        <f>SUMIF($E$4:$E$132,"111",$DB$4:$DB$132)</f>
        <v>0</v>
      </c>
      <c r="DC137" s="130">
        <f>SUMIF($E$4:$E$132,"111",$DC$4:$DC$132)</f>
        <v>0</v>
      </c>
      <c r="DD137" s="130">
        <f>SUMIF($E$4:$E$132,"111",$DD$4:$DD$132)</f>
        <v>0</v>
      </c>
      <c r="DE137" s="130">
        <f>SUMIF($E$4:$E$132,"111",$DE$4:$DE$132)</f>
        <v>0</v>
      </c>
      <c r="DF137" s="130">
        <f>SUMIF($E$4:$E$132,"111",$DF$4:$DF$132)</f>
        <v>0</v>
      </c>
      <c r="DG137" s="130">
        <f>SUMIF($E$4:$E$132,"111",$DG$4:$DG$132)</f>
        <v>0</v>
      </c>
      <c r="DH137" s="130">
        <f>SUMIF($E$4:$E$132,"111",$DH$4:$DH$132)</f>
        <v>350005583</v>
      </c>
      <c r="DJ137" s="77"/>
      <c r="DK137" s="77"/>
      <c r="DL137" s="196"/>
      <c r="DM137" s="196"/>
      <c r="DN137" s="198"/>
    </row>
    <row r="138" spans="1:118" ht="18" customHeight="1" x14ac:dyDescent="0.25">
      <c r="C138" s="131"/>
      <c r="D138" s="121" t="s">
        <v>374</v>
      </c>
      <c r="E138" s="114">
        <v>211</v>
      </c>
      <c r="F138" s="122"/>
      <c r="G138" s="123">
        <f>SUMIF($E$4:$E$132,"211",$G$4:$G$132)</f>
        <v>3987310612</v>
      </c>
      <c r="H138" s="124">
        <f>SUMIF($E$4:$E$133,"211",$H$4:$H$133)</f>
        <v>0</v>
      </c>
      <c r="I138" s="124">
        <f>SUMIF($E$4:$E$133,"211",$I$4:$I$133)</f>
        <v>3227181237</v>
      </c>
      <c r="J138" s="123">
        <f>SUMIF($E$4:$E$132,"211",$J$4:$J$132)</f>
        <v>0</v>
      </c>
      <c r="K138" s="122">
        <f>SUMIF($E$4:$E$132,"211",$K$4:$K$132)</f>
        <v>0</v>
      </c>
      <c r="L138" s="122">
        <f>SUMIF($E$4:$E$132,"211",$L$4:$L$132)</f>
        <v>0</v>
      </c>
      <c r="M138" s="122">
        <f>SUMIF($E$4:$E$132,"211",$M$4:$M$132)</f>
        <v>0</v>
      </c>
      <c r="N138" s="122">
        <f>SUMIF($E$4:$E$132,"211",$N$4:$N$132)</f>
        <v>0</v>
      </c>
      <c r="O138" s="122">
        <f>SUMIF($E$4:$E$132,"211",$O$4:$O$132)</f>
        <v>0</v>
      </c>
      <c r="P138" s="122">
        <f>SUMIF($E$4:$E$132,"211",$P$4:$P$132)</f>
        <v>0</v>
      </c>
      <c r="Q138" s="122">
        <f>SUMIF($E$4:$E$132,"211",$Q$4:$Q$132)</f>
        <v>95432388</v>
      </c>
      <c r="R138" s="122">
        <f>SUMIF($E$4:$E$132,"211",$R$4:$R$132)</f>
        <v>0</v>
      </c>
      <c r="S138" s="122">
        <f>SUMIF($E$4:$E$132,"211",$S$4:$S$132)</f>
        <v>380000000</v>
      </c>
      <c r="T138" s="122">
        <f>SUMIF($E$4:$E$132,"211",$T$4:$T$132)</f>
        <v>0</v>
      </c>
      <c r="U138" s="122">
        <f>SUMIF($E$4:$E$132,"211",$U$4:$U$132)</f>
        <v>0</v>
      </c>
      <c r="V138" s="122">
        <f>SUMIF($E$4:$E$132,"211",$V$4:$V$132)</f>
        <v>0</v>
      </c>
      <c r="W138" s="122"/>
      <c r="X138" s="122">
        <f>SUMIF($E$4:$E$132,"211",$X$4:$X$132)</f>
        <v>0</v>
      </c>
      <c r="Y138" s="122">
        <f>SUMIF($E$4:$E$132,"211",$Y$4:$Y$132)</f>
        <v>0</v>
      </c>
      <c r="Z138" s="122">
        <f>SUMIF($E$4:$E$132,"211",$Z$4:$Z$132)</f>
        <v>284696987</v>
      </c>
      <c r="AA138" s="125">
        <f t="shared" si="176"/>
        <v>0.68747288153331354</v>
      </c>
      <c r="AB138" s="28">
        <f t="shared" si="177"/>
        <v>2741167916</v>
      </c>
      <c r="AC138" s="123">
        <f>SUMIF($E$4:$E$132,"211",$AC$4:$AC$132)</f>
        <v>0</v>
      </c>
      <c r="AD138" s="123">
        <f>SUMIF($E$4:$E$132,"211",$AD$4:$AD$132)</f>
        <v>0</v>
      </c>
      <c r="AE138" s="123">
        <f>SUMIF($E$4:$E$132,"211",$AE$4:$AE$132)</f>
        <v>2257319958</v>
      </c>
      <c r="AF138" s="123">
        <f>SUMIF($E$4:$E$132,"211",$AF$4:$AF$132)</f>
        <v>0</v>
      </c>
      <c r="AG138" s="123">
        <f>SUMIF($E$4:$E$132,"211",$AG$4:$AG$132)</f>
        <v>0</v>
      </c>
      <c r="AH138" s="123">
        <f>SUMIF($E$4:$E$132,"211",$AH$4:$AH$132)</f>
        <v>0</v>
      </c>
      <c r="AI138" s="123">
        <f>SUMIF($E$4:$E$132,"211",$AI$4:$AI$132)</f>
        <v>0</v>
      </c>
      <c r="AJ138" s="123">
        <f>SUMIF($E$4:$E$132,"211",$AJ$4:$AJ$132)</f>
        <v>0</v>
      </c>
      <c r="AK138" s="123">
        <f>SUMIF($E$4:$E$132,"211",$AK$4:$AK$132)</f>
        <v>0</v>
      </c>
      <c r="AL138" s="123">
        <f>SUMIF($E$4:$E$132,"211",$AL$4:$AL$132)</f>
        <v>0</v>
      </c>
      <c r="AM138" s="123">
        <f>SUMIF($E$4:$E$132,"211",$AM$4:$AM$132)</f>
        <v>85000000</v>
      </c>
      <c r="AN138" s="123">
        <f>SUMIF($E$4:$E$132,"211",$AN$4:$AN$132)</f>
        <v>0</v>
      </c>
      <c r="AO138" s="123">
        <f>SUMIF($E$4:$E$132,"211",$AO$4:$AO$132)</f>
        <v>250000000</v>
      </c>
      <c r="AP138" s="123">
        <f>SUMIF($E$4:$E$132,"211",$AP$4:$AP$132)</f>
        <v>0</v>
      </c>
      <c r="AQ138" s="123">
        <f>SUMIF($E$4:$E$132,"211",$AQ$4:$AQ$132)</f>
        <v>0</v>
      </c>
      <c r="AR138" s="123">
        <f>SUMIF($E$4:$E$132,"211",$AR$4:$AR$132)</f>
        <v>0</v>
      </c>
      <c r="AS138" s="123">
        <f>SUMIF($E$4:$E$132,"211",$AS$4:$AS$132)</f>
        <v>0</v>
      </c>
      <c r="AT138" s="123">
        <f>SUMIF($E$4:$E$132,"211",$AT$4:$AT$132)</f>
        <v>0</v>
      </c>
      <c r="AU138" s="123">
        <f>SUMIF($E$4:$E$132,"211",$AU$4:$AU$132)</f>
        <v>0</v>
      </c>
      <c r="AV138" s="123">
        <f>SUMIF($E$4:$E$132,"211",$AV$4:$AV$132)</f>
        <v>148847958</v>
      </c>
      <c r="AW138" s="108">
        <f t="shared" si="178"/>
        <v>0.31252711846668646</v>
      </c>
      <c r="AX138" s="28">
        <f t="shared" si="179"/>
        <v>1246142696</v>
      </c>
      <c r="AY138" s="126">
        <f>SUMIF($E$4:$E$132,"211",$AY$4:$AY$132)</f>
        <v>0</v>
      </c>
      <c r="AZ138" s="126">
        <f>SUMIF($E$4:$E$132,"211",$AZ$4:$AZ$132)</f>
        <v>969861279</v>
      </c>
      <c r="BA138" s="126">
        <f>SUMIF($E$4:$E$132,"211",$BA$4:$BA$132)</f>
        <v>0</v>
      </c>
      <c r="BB138" s="126">
        <f>SUMIF($E$4:$E$132,"211",$BB$4:$BB$132)</f>
        <v>0</v>
      </c>
      <c r="BC138" s="126">
        <f>SUMIF($E$4:$E$132,"211",$BC$4:$BC$132)</f>
        <v>0</v>
      </c>
      <c r="BD138" s="126">
        <f>SUMIF($E$4:$E$132,"211",$BD$4:$BD$132)</f>
        <v>0</v>
      </c>
      <c r="BE138" s="126">
        <f>SUMIF($E$4:$E$132,"211",$BE$4:$BE$132)</f>
        <v>0</v>
      </c>
      <c r="BF138" s="126">
        <f>SUMIF($E$4:$E$132,"211",$BF$4:$BF$132)</f>
        <v>0</v>
      </c>
      <c r="BG138" s="126">
        <f>SUMIF($E$4:$E$132,"211",$BG$4:$BG$132)</f>
        <v>0</v>
      </c>
      <c r="BH138" s="126">
        <f>SUMIF($E$4:$E$132,"211",$BH$4:$BH$132)</f>
        <v>10432388</v>
      </c>
      <c r="BI138" s="126">
        <f>SUMIF($E$4:$E$132,"211",$BI$4:$BI$132)</f>
        <v>0</v>
      </c>
      <c r="BJ138" s="126">
        <f>SUMIF($E$4:$E$132,"211",$BJ$4:$BJ$132)</f>
        <v>130000000</v>
      </c>
      <c r="BK138" s="126">
        <f>SUMIF($E$4:$E$132,"211",$BK$4:$BK$132)</f>
        <v>0</v>
      </c>
      <c r="BL138" s="126">
        <f>SUMIF($E$4:$E$132,"211",$BL$4:$BL$132)</f>
        <v>0</v>
      </c>
      <c r="BM138" s="126">
        <f>SUMIF($E$4:$E$132,"211",$BM$4:$BM$132)</f>
        <v>0</v>
      </c>
      <c r="BN138" s="126"/>
      <c r="BO138" s="126">
        <f>SUMIF($E$4:$E$132,"211",$BO$4:$BO$132)</f>
        <v>0</v>
      </c>
      <c r="BP138" s="126">
        <f>SUMIF($E$4:$E$132,"211",$BP$4:$BP$132)</f>
        <v>0</v>
      </c>
      <c r="BQ138" s="127">
        <f>SUMIF($E$4:$E$132,"211",$BQ$4:$BQ$132)</f>
        <v>135849029</v>
      </c>
      <c r="BR138" s="128">
        <f t="shared" si="180"/>
        <v>0.49318132905969853</v>
      </c>
      <c r="BS138" s="33">
        <f t="shared" si="181"/>
        <v>1966467147</v>
      </c>
      <c r="BT138" s="123">
        <f>SUMIF($E$4:$E$132,"211",$BT$4:$BT$132)</f>
        <v>0</v>
      </c>
      <c r="BU138" s="123">
        <f>SUMIF($E$4:$E$132,"211",$BU$4:$BU$132)</f>
        <v>0</v>
      </c>
      <c r="BV138" s="123">
        <f>SUMIF($E$4:$E$132,"211",$BV$4:$BV$132)</f>
        <v>1533253042</v>
      </c>
      <c r="BW138" s="123">
        <f>SUMIF($E$4:$E$132,"211",$BW$4:$BW$132)</f>
        <v>0</v>
      </c>
      <c r="BX138" s="123">
        <f>SUMIF($E$4:$E$132,"211",$BX$4:$BX$132)</f>
        <v>0</v>
      </c>
      <c r="BY138" s="123">
        <f>SUMIF($E$4:$E$132,"211",$BY$4:$BY$132)</f>
        <v>0</v>
      </c>
      <c r="BZ138" s="123">
        <f>SUMIF($E$4:$E$132,"211",$BZ$4:$BZ$132)</f>
        <v>0</v>
      </c>
      <c r="CA138" s="123">
        <f>SUMIF($E$4:$E$132,"211",$CA$4:$CA$132)</f>
        <v>0</v>
      </c>
      <c r="CB138" s="123">
        <f>SUMIF($E$4:$E$132,"211",$CB$4:$CB$132)</f>
        <v>0</v>
      </c>
      <c r="CC138" s="123">
        <f>SUMIF($E$4:$E$132,"211",$CC$4:$CC$132)</f>
        <v>0</v>
      </c>
      <c r="CD138" s="123">
        <f>SUMIF($E$4:$E$132,"211",$CD$4:$CD$132)</f>
        <v>50256150</v>
      </c>
      <c r="CE138" s="123">
        <f>SUMIF($E$4:$E$132,"211",$CE$4:$CE$132)</f>
        <v>0</v>
      </c>
      <c r="CF138" s="123">
        <f>SUMIF($E$4:$E$132,"211",$CF$4:$CF$132)</f>
        <v>249680327</v>
      </c>
      <c r="CG138" s="123">
        <f>SUMIF($E$4:$E$132,"211",$CG$4:$CG$132)</f>
        <v>0</v>
      </c>
      <c r="CH138" s="123">
        <f>SUMIF($E$4:$E$132,"211",$CH$4:$CH$132)</f>
        <v>0</v>
      </c>
      <c r="CI138" s="123">
        <f>SUMIF($E$4:$E$132,"211",$CI$4:$CI$132)</f>
        <v>0</v>
      </c>
      <c r="CJ138" s="123">
        <f>SUMIF($E$4:$E$132,"211",$CJ$4:$CJ$132)</f>
        <v>0</v>
      </c>
      <c r="CK138" s="123">
        <f>SUMIF($E$4:$E$132,"211",$CK$4:$CK$132)</f>
        <v>0</v>
      </c>
      <c r="CL138" s="123">
        <f>SUMIF($E$4:$E$132,"211",$CL$4:$CL$132)</f>
        <v>0</v>
      </c>
      <c r="CM138" s="129">
        <f>SUMIF($E$4:$E$132,"211",$CM$4:$CM$132)</f>
        <v>133277628</v>
      </c>
      <c r="CN138" s="25">
        <f t="shared" si="182"/>
        <v>0.50681867094030153</v>
      </c>
      <c r="CO138" s="28">
        <f t="shared" ca="1" si="183"/>
        <v>2020843465</v>
      </c>
      <c r="CP138" s="126">
        <f ca="1">SUMIF($E$4:$E$133,"211",$CP$4:$CP$132)</f>
        <v>0</v>
      </c>
      <c r="CQ138" s="126">
        <f>SUMIF($E$4:$E$132,"211",$CQ$4:$CQ$132)</f>
        <v>1693928195</v>
      </c>
      <c r="CR138" s="126">
        <f>SUMIF($E$4:$E$132,"211",$CR$4:$CR$132)</f>
        <v>0</v>
      </c>
      <c r="CS138" s="126">
        <f>SUMIF($E$4:$E$132,"211",$CS$4:$CS$132)</f>
        <v>0</v>
      </c>
      <c r="CT138" s="126">
        <f>SUMIF($E$4:$E$132,"211",$CT$4:$CT$132)</f>
        <v>0</v>
      </c>
      <c r="CU138" s="126">
        <f>SUMIF($E$4:$E$132,"211",$CU$4:$CU$132)</f>
        <v>0</v>
      </c>
      <c r="CV138" s="130">
        <f>SUMIF($E$4:$E$132,"211",$CV$4:$CV$132)</f>
        <v>0</v>
      </c>
      <c r="CW138" s="130">
        <f>SUMIF($E$4:$E$132,"211",$CW$4:$CW$132)</f>
        <v>0</v>
      </c>
      <c r="CX138" s="130">
        <f>SUMIF($E$4:$E$132,"211",$CX$4:$CX$132)</f>
        <v>0</v>
      </c>
      <c r="CY138" s="130">
        <f>SUMIF($E$4:$E$132,"211",$CY$4:$CY$132)</f>
        <v>45176238</v>
      </c>
      <c r="CZ138" s="130">
        <f>SUMIF($E$4:$E$132,"211",$CZ$4:$CZ$132)</f>
        <v>0</v>
      </c>
      <c r="DA138" s="130">
        <f>SUMIF($E$4:$E$132,"211",$DA$4:$DA$132)</f>
        <v>130319673</v>
      </c>
      <c r="DB138" s="130">
        <f>SUMIF($E$4:$E$132,"211",$DB$4:$DB$132)</f>
        <v>0</v>
      </c>
      <c r="DC138" s="130">
        <f>SUMIF($E$4:$E$132,"211",$DC$4:$DC$132)</f>
        <v>0</v>
      </c>
      <c r="DD138" s="130">
        <f>SUMIF($E$4:$E$132,"211",$DD$4:$DD$132)</f>
        <v>0</v>
      </c>
      <c r="DE138" s="130">
        <f>SUMIF($E$4:$E$132,"211",$DE$4:$DE$132)</f>
        <v>0</v>
      </c>
      <c r="DF138" s="130">
        <f>SUMIF($E$4:$E$132,"211",$DF$4:$DF$132)</f>
        <v>0</v>
      </c>
      <c r="DG138" s="130">
        <f>SUMIF($E$4:$E$132,"211",$DG$4:$DG$132)</f>
        <v>0</v>
      </c>
      <c r="DH138" s="130">
        <f>SUMIF($E$4:$E$132,"211",$DH$4:$DH$132)</f>
        <v>151419359</v>
      </c>
      <c r="DJ138" s="275"/>
      <c r="DK138" s="275"/>
      <c r="DL138" s="193" t="s">
        <v>402</v>
      </c>
      <c r="DM138" s="193" t="s">
        <v>403</v>
      </c>
      <c r="DN138" s="194" t="s">
        <v>404</v>
      </c>
    </row>
    <row r="139" spans="1:118" ht="16.5" customHeight="1" x14ac:dyDescent="0.25">
      <c r="C139" s="131"/>
      <c r="D139" s="121" t="s">
        <v>375</v>
      </c>
      <c r="E139" s="114">
        <v>310</v>
      </c>
      <c r="F139" s="122"/>
      <c r="G139" s="123">
        <f>SUMIF($E$4:$E$132,"310",$G$4:$G$133)</f>
        <v>1110346880</v>
      </c>
      <c r="H139" s="124">
        <f>SUMIF($E$4:$E$132,"310",$H$4:$H$132)</f>
        <v>0</v>
      </c>
      <c r="I139" s="124">
        <f>SUMIF($E$4:$E$132,"310",$I$4:$I$132)</f>
        <v>450000000</v>
      </c>
      <c r="J139" s="123">
        <f>SUMIF($E$4:$E$132,"310",$J$4:$J$132)</f>
        <v>0</v>
      </c>
      <c r="K139" s="122">
        <f>SUMIF($E$4:$E$132,"310",$K$4:$K$132)</f>
        <v>578368096</v>
      </c>
      <c r="L139" s="122">
        <f>SUMIF($E$4:$E$132,"310",$L$4:$L$132)</f>
        <v>0</v>
      </c>
      <c r="M139" s="122">
        <f>SUMIF($E$4:$E$132,"310",$M$4:$M$132)</f>
        <v>0</v>
      </c>
      <c r="N139" s="122">
        <f>SUMIF($E$4:$E$132,"310",$N$4:$N$132)</f>
        <v>0</v>
      </c>
      <c r="O139" s="122">
        <f>SUMIF($E$4:$E$132,"310",$O$4:$O$132)</f>
        <v>0</v>
      </c>
      <c r="P139" s="122">
        <f>SUMIF($E$4:$E$132,"310",$P$4:$P$132)</f>
        <v>0</v>
      </c>
      <c r="Q139" s="122">
        <f>SUMIF($E$4:$E$132,"310",$Q$4:$Q$132)</f>
        <v>0</v>
      </c>
      <c r="R139" s="122">
        <f>SUMIF($E$4:$E$132,"310",$R$4:$R$132)</f>
        <v>4978784</v>
      </c>
      <c r="S139" s="122">
        <f>SUMIF($E$4:$E$132,"310",$S$4:$S$132)</f>
        <v>0</v>
      </c>
      <c r="T139" s="122">
        <f>SUMIF($E$4:$E$132,"310",$T$4:$T$132)</f>
        <v>0</v>
      </c>
      <c r="U139" s="122">
        <f>SUMIF($E$4:$E$132,"310",$U$4:$U$132)</f>
        <v>0</v>
      </c>
      <c r="V139" s="122">
        <f>SUMIF($E$4:$E$124,"310",$V$4:$V$124)</f>
        <v>0</v>
      </c>
      <c r="W139" s="122"/>
      <c r="X139" s="122">
        <f>SUMIF($E$4:$E$132,"310",$X$4:$X$132)</f>
        <v>0</v>
      </c>
      <c r="Y139" s="122">
        <f>SUMIF($E$4:$E$132,"310",$Y$4:$Y$132)</f>
        <v>0</v>
      </c>
      <c r="Z139" s="122">
        <f>SUMIF($E$4:$E$132,"310",$Z$4:$Z$132)</f>
        <v>77000000</v>
      </c>
      <c r="AA139" s="125">
        <f t="shared" si="176"/>
        <v>0.584856865631036</v>
      </c>
      <c r="AB139" s="33">
        <f t="shared" si="177"/>
        <v>649393996</v>
      </c>
      <c r="AC139" s="123">
        <f>SUMIF($E$4:$E$132,"310",$AC$4:$AC$132)</f>
        <v>0</v>
      </c>
      <c r="AD139" s="123">
        <f>SUMIF($E$4:$E$132,"310",$AD$4:$AD$132)</f>
        <v>0</v>
      </c>
      <c r="AE139" s="123">
        <f>SUMIF($E$4:$E$132,"310",$AE$4:$AE$132)</f>
        <v>152934046</v>
      </c>
      <c r="AF139" s="123">
        <f>SUMIF($E$4:$E$132,"310",$AF$4:$AF$132)</f>
        <v>0</v>
      </c>
      <c r="AG139" s="123">
        <f>SUMIF($E$4:$E$132,"310",$AG$4:$AG$132)</f>
        <v>458594602</v>
      </c>
      <c r="AH139" s="123">
        <f>SUMIF($E$4:$E$132,"310",$AH$4:$AH$132)</f>
        <v>0</v>
      </c>
      <c r="AI139" s="123">
        <f>SUMIF($E$4:$E$132,"310",$AI$4:$AI$132)</f>
        <v>0</v>
      </c>
      <c r="AJ139" s="123">
        <f>SUMIF($E$4:$E$132,"310",$AJ$4:$AJ$132)</f>
        <v>0</v>
      </c>
      <c r="AK139" s="123">
        <f>SUMIF($E$4:$E$132,"310",$AK$4:$AK$132)</f>
        <v>0</v>
      </c>
      <c r="AL139" s="123">
        <f>SUMIF($E$4:$E$132,"310",$AL$4:$AL$132)</f>
        <v>0</v>
      </c>
      <c r="AM139" s="123">
        <f>SUMIF($E$4:$E$132,"310",$AM$4:$AM$132)</f>
        <v>0</v>
      </c>
      <c r="AN139" s="123">
        <f>SUMIF($E$4:$E$132,"310",$AN$4:$AN$132)</f>
        <v>0</v>
      </c>
      <c r="AO139" s="123">
        <f>SUMIF($E$4:$E$132,"310",$AO$4:$AO$132)</f>
        <v>0</v>
      </c>
      <c r="AP139" s="123">
        <f>SUMIF($E$4:$E$132,"310",$AP$4:$AP$132)</f>
        <v>0</v>
      </c>
      <c r="AQ139" s="123">
        <f>SUMIF($E$4:$E$132,"310",$AQ$4:$AQ$132)</f>
        <v>0</v>
      </c>
      <c r="AR139" s="123">
        <f>SUMIF($E$4:$E$132,"310",$AR$4:$AR$132)</f>
        <v>0</v>
      </c>
      <c r="AS139" s="123">
        <f>SUMIF($E$4:$E$132,"310",$AS$4:$AS$132)</f>
        <v>0</v>
      </c>
      <c r="AT139" s="123">
        <f>SUMIF($E$4:$E$132,"310",$AT$4:$AT$132)</f>
        <v>0</v>
      </c>
      <c r="AU139" s="123">
        <f>SUMIF($E$4:$E$132,"310",$AU$4:$AU$132)</f>
        <v>0</v>
      </c>
      <c r="AV139" s="123">
        <f>SUMIF($E$4:$E$132,"310",$AV$4:$AV$132)</f>
        <v>37865348</v>
      </c>
      <c r="AW139" s="108">
        <f t="shared" si="178"/>
        <v>0.415143134368964</v>
      </c>
      <c r="AX139" s="28">
        <f t="shared" si="179"/>
        <v>460952884</v>
      </c>
      <c r="AY139" s="126">
        <f>SUMIF($E$4:$E$132,"310",$AY$4:$AY$132)</f>
        <v>0</v>
      </c>
      <c r="AZ139" s="126">
        <f>SUMIF($E$4:$E$132,"310",$AZ$4:$AZ$132)</f>
        <v>297065954</v>
      </c>
      <c r="BA139" s="126">
        <f>SUMIF($E$4:$E$132,"310",$BA$4:$BA$132)</f>
        <v>0</v>
      </c>
      <c r="BB139" s="126">
        <f>SUMIF($E$4:$E$132,"310",$BB$4:$BB$132)</f>
        <v>119773494</v>
      </c>
      <c r="BC139" s="126">
        <f>SUMIF($E$4:$E$132,"310",$BC$4:$BC$132)</f>
        <v>0</v>
      </c>
      <c r="BD139" s="126">
        <f>SUMIF($E$4:$E$132,"310",$BD$4:$BD$132)</f>
        <v>0</v>
      </c>
      <c r="BE139" s="126">
        <f>SUMIF($E$4:$E$132,"310",$BE$4:$BE$132)</f>
        <v>0</v>
      </c>
      <c r="BF139" s="126">
        <f>SUMIF($E$4:$E$132,"310",$BF$4:$BF$132)</f>
        <v>0</v>
      </c>
      <c r="BG139" s="126">
        <f>SUMIF($E$4:$E$132,"310",$BG$4:$BG$132)</f>
        <v>0</v>
      </c>
      <c r="BH139" s="126">
        <f>SUMIF($E$4:$E$132,"310",$BH$4:$BH$132)</f>
        <v>0</v>
      </c>
      <c r="BI139" s="126">
        <f>SUMIF($E$4:$E$132,"310",$BI$4:$BI$132)</f>
        <v>4978784</v>
      </c>
      <c r="BJ139" s="126">
        <f>SUMIF($E$4:$E$132,"310",$BJ$4:$BJ$132)</f>
        <v>0</v>
      </c>
      <c r="BK139" s="126">
        <f>SUMIF($E$4:$E$132,"310",$BK$4:$BK$132)</f>
        <v>0</v>
      </c>
      <c r="BL139" s="126">
        <f>SUMIF($E$4:$E$132,"310",$BL$4:$BL$132)</f>
        <v>0</v>
      </c>
      <c r="BM139" s="126">
        <f>SUMIF($E$4:$E$132,"310",$BM$4:$BM$132)</f>
        <v>0</v>
      </c>
      <c r="BN139" s="126">
        <f>SUMIF($E$4:$E$132,"310",$BM$4:$BM$132)</f>
        <v>0</v>
      </c>
      <c r="BO139" s="126">
        <f>SUMIF($E$4:$E$132,"310",$BO$4:$BO$132)</f>
        <v>0</v>
      </c>
      <c r="BP139" s="126">
        <f>SUMIF($E$4:$E$132,"310",$BP$4:$BP$132)</f>
        <v>0</v>
      </c>
      <c r="BQ139" s="127">
        <f>SUMIF($E$4:$E$132,"310",$BQ$4:$BQ$132)</f>
        <v>39134652</v>
      </c>
      <c r="BR139" s="128">
        <f t="shared" si="180"/>
        <v>0.42989801529410343</v>
      </c>
      <c r="BS139" s="33">
        <f t="shared" si="181"/>
        <v>477335920</v>
      </c>
      <c r="BT139" s="123">
        <f>SUMIF($E$4:$E$132,"310",$BT$4:$BT$132)</f>
        <v>0</v>
      </c>
      <c r="BU139" s="123">
        <f>SUMIF($E$4:$E$132,"310",$BU$4:$BU$132)</f>
        <v>0</v>
      </c>
      <c r="BV139" s="123">
        <f>SUMIF($E$4:$E$132,"310",$BV$4:$BV$132)</f>
        <v>124254160</v>
      </c>
      <c r="BW139" s="123">
        <f>SUMIF($E$4:$E$132,"310",$BW$4:$BW$132)</f>
        <v>0</v>
      </c>
      <c r="BX139" s="123">
        <f>SUMIF($E$4:$E$132,"310",$BX$4:$BX$132)</f>
        <v>315709576</v>
      </c>
      <c r="BY139" s="123">
        <f>SUMIF($E$4:$E$132,"310",$BY$4:$BY$132)</f>
        <v>0</v>
      </c>
      <c r="BZ139" s="123">
        <f>SUMIF($E$4:$E$132,"310",$BZ$4:$BZ$132)</f>
        <v>0</v>
      </c>
      <c r="CA139" s="123">
        <f>SUMIF($E$4:$E$132,"310",$CA$4:$CA$132)</f>
        <v>0</v>
      </c>
      <c r="CB139" s="123">
        <f>SUMIF($E$4:$E$132,"310",$CB$4:$CB$132)</f>
        <v>0</v>
      </c>
      <c r="CC139" s="123">
        <f>SUMIF($E$4:$E$132,"310",$CC$4:$CC$132)</f>
        <v>0</v>
      </c>
      <c r="CD139" s="123">
        <f>SUMIF($E$4:$E$132,"310",$CD$4:$CD$132)</f>
        <v>0</v>
      </c>
      <c r="CE139" s="123">
        <f>SUMIF($E$4:$E$132,"310",$CE$4:$CE$132)</f>
        <v>0</v>
      </c>
      <c r="CF139" s="123">
        <f>SUMIF($E$4:$E$132,"310",$CF$4:$CF$132)</f>
        <v>0</v>
      </c>
      <c r="CG139" s="123">
        <f>SUMIF($E$4:$E$132,"310",$CG$4:$CG$132)</f>
        <v>0</v>
      </c>
      <c r="CH139" s="123">
        <f>SUMIF($E$4:$E$132,"310",$CH$4:$CH$132)</f>
        <v>0</v>
      </c>
      <c r="CI139" s="123">
        <f>SUMIF($E$4:$E$132,"310",$CI$4:$CI$132)</f>
        <v>0</v>
      </c>
      <c r="CJ139" s="123">
        <f>SUMIF($E$4:$E$132,"310",$CJ$4:$CJ$132)</f>
        <v>0</v>
      </c>
      <c r="CK139" s="123">
        <f>SUMIF($E$4:$E$132,"310",$CK$4:$CK$132)</f>
        <v>0</v>
      </c>
      <c r="CL139" s="123">
        <f>SUMIF($E$4:$E$132,"310",$CL$4:$CL$132)</f>
        <v>0</v>
      </c>
      <c r="CM139" s="129">
        <f>SUMIF($E$4:$E$132,"310",$CM$4:$CM$132)</f>
        <v>37372184</v>
      </c>
      <c r="CN139" s="25">
        <f t="shared" si="182"/>
        <v>0.57010198470589657</v>
      </c>
      <c r="CO139" s="28">
        <f t="shared" si="183"/>
        <v>633010960</v>
      </c>
      <c r="CP139" s="126">
        <f>SUMIF($E$4:$E$132,"310",$CP$4:$CP$132)</f>
        <v>0</v>
      </c>
      <c r="CQ139" s="126">
        <f>SUMIF($E$4:$E$132,"310",$CQ$4:$CQ$132)</f>
        <v>325745840</v>
      </c>
      <c r="CR139" s="126">
        <f>SUMIF($E$4:$E$132,"310",$CR$4:$CR$132)</f>
        <v>0</v>
      </c>
      <c r="CS139" s="126">
        <f>SUMIF($E$4:$E$132,"310",$CS$4:$CS$132)</f>
        <v>262658520</v>
      </c>
      <c r="CT139" s="126">
        <f>SUMIF($E$4:$E$132,"310",$CT$4:$CT$132)</f>
        <v>0</v>
      </c>
      <c r="CU139" s="126">
        <f>SUMIF($E$4:$E$132,"310",$CU$4:$CU$132)</f>
        <v>0</v>
      </c>
      <c r="CV139" s="130">
        <f>SUMIF($E$4:$E$132,"310",$CV$4:$CV$132)</f>
        <v>0</v>
      </c>
      <c r="CW139" s="130">
        <f>SUMIF($E$4:$E$132,"310",$CW$4:$CW$132)</f>
        <v>0</v>
      </c>
      <c r="CX139" s="130">
        <f>SUMIF($E$4:$E$132,"310",$CX$4:$CX$132)</f>
        <v>0</v>
      </c>
      <c r="CY139" s="130">
        <f>SUMIF($E$4:$E$132,"310",$CY$4:$CY$132)</f>
        <v>0</v>
      </c>
      <c r="CZ139" s="130">
        <f>SUMIF($E$4:$E$132,"310",$CZ$4:$CZ$132)</f>
        <v>4978784</v>
      </c>
      <c r="DA139" s="130">
        <f>SUMIF($E$4:$E$132,"310",$DA$4:$DA$132)</f>
        <v>0</v>
      </c>
      <c r="DB139" s="130">
        <f>SUMIF($E$4:$E$132,"310",$DB$4:$DB$132)</f>
        <v>0</v>
      </c>
      <c r="DC139" s="130">
        <f>SUMIF($E$4:$E$132,"310",$DC$4:$DC$132)</f>
        <v>0</v>
      </c>
      <c r="DD139" s="130">
        <f>SUMIF($E$4:$E$132,"310",$DD$4:$DD$132)</f>
        <v>0</v>
      </c>
      <c r="DE139" s="130">
        <f>SUMIF($E$4:$E$132,"310",$DE$4:$DE$132)</f>
        <v>0</v>
      </c>
      <c r="DF139" s="130">
        <f>SUMIF($E$4:$E$132,"310",$DF$4:$DF$132)</f>
        <v>0</v>
      </c>
      <c r="DG139" s="130">
        <f>SUMIF($E$4:$E$132,"310",$DG$4:$DG$132)</f>
        <v>0</v>
      </c>
      <c r="DH139" s="130">
        <f>SUMIF($E$4:$E$132,"310",$DH$4:$DH$132)</f>
        <v>39627816</v>
      </c>
      <c r="DJ139" s="77"/>
      <c r="DK139" s="77"/>
      <c r="DL139" s="196"/>
      <c r="DM139" s="196"/>
      <c r="DN139" s="198"/>
    </row>
    <row r="140" spans="1:118" x14ac:dyDescent="0.25">
      <c r="C140" s="132"/>
      <c r="D140" s="121" t="s">
        <v>376</v>
      </c>
      <c r="E140" s="114">
        <v>410</v>
      </c>
      <c r="F140" s="122"/>
      <c r="G140" s="123">
        <f>SUMIF($E$4:$E$132,"410",$G$4:$G$132)</f>
        <v>5991897445</v>
      </c>
      <c r="H140" s="124">
        <f>SUMIF($E$4:$E$132,"410",$H$4:$H$132)</f>
        <v>0</v>
      </c>
      <c r="I140" s="124">
        <f>SUMIF($E$4:$E$133,"410",$I$4:$I$133)</f>
        <v>2263096695</v>
      </c>
      <c r="J140" s="123">
        <f>SUMIF($E$4:$E$132,"410",$J$4:$J$132)</f>
        <v>0</v>
      </c>
      <c r="K140" s="122">
        <f>SUMIF($E$4:$E$132,"410",$K$4:$K$132)</f>
        <v>0</v>
      </c>
      <c r="L140" s="122">
        <f>SUMIF($E$4:$E$132,"410",$L$4:$L$132)</f>
        <v>74368590</v>
      </c>
      <c r="M140" s="122">
        <f>SUMIF($E$4:$E$132,"410",$M$4:$M$132)</f>
        <v>0</v>
      </c>
      <c r="N140" s="122">
        <f>SUMIF($E$4:$E$132,"410",$N$4:$N$132)</f>
        <v>0</v>
      </c>
      <c r="O140" s="122">
        <f>SUMIF($E$4:$E$132,"410",$O$4:$O$132)</f>
        <v>0</v>
      </c>
      <c r="P140" s="122">
        <f>SUMIF($E$4:$E$132,"410",$P$4:$P$132)</f>
        <v>0</v>
      </c>
      <c r="Q140" s="122">
        <f>SUMIF($E$4:$E$132,"410",$Q$4:$Q$132)</f>
        <v>0</v>
      </c>
      <c r="R140" s="122">
        <f>SUMIF($E$4:$E$132,"410",$R$4:$R$132)</f>
        <v>1845604065</v>
      </c>
      <c r="S140" s="122">
        <f>SUMIF($E$4:$E$132,"410",$S$4:$S$132)</f>
        <v>387696735</v>
      </c>
      <c r="T140" s="122">
        <f>SUMIF($E$4:$E$132,"410",$T$4:$T$132)</f>
        <v>0</v>
      </c>
      <c r="U140" s="122">
        <f>SUMIF($E$4:$E$124,"410",$U$4:$U$124)</f>
        <v>1054833768</v>
      </c>
      <c r="V140" s="122">
        <f>SUMIF($E$4:$E$124,"410",$V$4:$V$124)</f>
        <v>0</v>
      </c>
      <c r="W140" s="122">
        <f>SUMIF($E$4:$E$132,"410",$W$4:$W$132)</f>
        <v>51295383</v>
      </c>
      <c r="X140" s="122">
        <f>SUMIF($E$4:$E$132,"410",$X$4:$X$132)</f>
        <v>0</v>
      </c>
      <c r="Y140" s="122">
        <f>SUMIF($E$4:$E$132,"410",$Y$4:$Y$132)</f>
        <v>204741836</v>
      </c>
      <c r="Z140" s="122">
        <f>SUMIF($E$4:$E$132,"410",$Z$4:$Z$132)</f>
        <v>110260373</v>
      </c>
      <c r="AA140" s="125">
        <f t="shared" si="176"/>
        <v>0.86657327159911024</v>
      </c>
      <c r="AB140" s="28">
        <f t="shared" si="177"/>
        <v>5192418172</v>
      </c>
      <c r="AC140" s="123">
        <f>SUMIF($E$4:$E$132,"410",$AC$4:$AC$132)</f>
        <v>0</v>
      </c>
      <c r="AD140" s="123">
        <f>SUMIF($E$4:$E$132,"410",$AD$4:$AD$132)</f>
        <v>0</v>
      </c>
      <c r="AE140" s="123">
        <f>SUMIF($E$4:$E$132,"410",$AE$4:$AE$132)</f>
        <v>1885268117</v>
      </c>
      <c r="AF140" s="123">
        <f>SUMIF($E$4:$E$132,"410",$AF$4:$AF$132)</f>
        <v>0</v>
      </c>
      <c r="AG140" s="123">
        <f>SUMIF($E$4:$E$132,"410",$AG$4:$AG$132)</f>
        <v>0</v>
      </c>
      <c r="AH140" s="123">
        <f>SUMIF($E$4:$E$132,"410",$AH$4:$AH$132)</f>
        <v>43061377</v>
      </c>
      <c r="AI140" s="123">
        <f>SUMIF($E$4:$E$132,"410",$AI$4:$AI$132)</f>
        <v>0</v>
      </c>
      <c r="AJ140" s="123">
        <f>SUMIF($E$4:$E$132,"410",$AJ$4:$AJ$132)</f>
        <v>0</v>
      </c>
      <c r="AK140" s="123">
        <f>SUMIF($E$4:$E$132,"410",$AK$4:$AK$132)</f>
        <v>0</v>
      </c>
      <c r="AL140" s="123">
        <f>SUMIF($E$4:$E$132,"410",$AL$4:$AL$132)</f>
        <v>0</v>
      </c>
      <c r="AM140" s="123">
        <f>SUMIF($E$4:$E$132,"410",$AM$4:$AM$132)</f>
        <v>0</v>
      </c>
      <c r="AN140" s="123">
        <f>SUMIF($E$4:$E$132,"410",$AN$4:$AN$132)</f>
        <v>1787879677</v>
      </c>
      <c r="AO140" s="123">
        <f>SUMIF($E$4:$E$132,"410",$AO$4:$AO$132)</f>
        <v>319704306</v>
      </c>
      <c r="AP140" s="123">
        <f>SUMIF($E$4:$E$132,"410",$AP$4:$AP$132)</f>
        <v>0</v>
      </c>
      <c r="AQ140" s="123">
        <f>SUMIF($E$4:$E$132,"410",$AQ$4:$AQ$132)</f>
        <v>910591170</v>
      </c>
      <c r="AR140" s="123">
        <f>SUMIF($E$4:$E$132,"410",$AR$4:$AR$132)</f>
        <v>0</v>
      </c>
      <c r="AS140" s="123">
        <f>SUMIF($E$4:$E$132,"410",$AS$4:$AS$132)</f>
        <v>51295383</v>
      </c>
      <c r="AT140" s="123">
        <f>SUMIF($E$4:$E$132,"410",$AT$4:$AT$132)</f>
        <v>0</v>
      </c>
      <c r="AU140" s="123">
        <f>SUMIF($E$4:$E$132,"410",$AU$4:$AU$132)</f>
        <v>114321836</v>
      </c>
      <c r="AV140" s="123">
        <f>SUMIF($E$4:$E$132,"410",$AV$4:$AV$132)</f>
        <v>80296306</v>
      </c>
      <c r="AW140" s="108">
        <f t="shared" si="178"/>
        <v>0.13342672840088976</v>
      </c>
      <c r="AX140" s="28">
        <f t="shared" si="179"/>
        <v>799479273</v>
      </c>
      <c r="AY140" s="126">
        <f>SUMIF($E$4:$E$132,"410",$AY$4:$AY$132)</f>
        <v>0</v>
      </c>
      <c r="AZ140" s="126">
        <f>SUMIF($E$4:$E$132,"410",$AZ$4:$AZ$132)</f>
        <v>377828578</v>
      </c>
      <c r="BA140" s="126">
        <f>SUMIF($E$4:$E$132,"410",$BA$4:$BA$132)</f>
        <v>0</v>
      </c>
      <c r="BB140" s="126">
        <f>SUMIF($E$4:$E$132,"410",$BB$4:$BB$132)</f>
        <v>0</v>
      </c>
      <c r="BC140" s="126">
        <f>SUMIF($E$4:$E$132,"410",$BC$4:$BC$132)</f>
        <v>31307213</v>
      </c>
      <c r="BD140" s="126">
        <f>SUMIF($E$4:$E$132,"410",$BD$4:$BD$132)</f>
        <v>0</v>
      </c>
      <c r="BE140" s="126">
        <f>SUMIF($E$4:$E$132,"410",$BE$4:$BE$132)</f>
        <v>0</v>
      </c>
      <c r="BF140" s="126">
        <f>SUMIF($E$4:$E$132,"410",$BF$4:$BF$132)</f>
        <v>0</v>
      </c>
      <c r="BG140" s="126">
        <f>SUMIF($E$4:$E$132,"410",$BG$4:$BG$132)</f>
        <v>0</v>
      </c>
      <c r="BH140" s="126">
        <f>SUMIF($E$4:$E$132,"410",$BH$4:$BH$132)</f>
        <v>0</v>
      </c>
      <c r="BI140" s="126">
        <f>SUMIF($E$4:$E$132,"410",$BI$4:$BI$132)</f>
        <v>57724388</v>
      </c>
      <c r="BJ140" s="126">
        <f>SUMIF($E$4:$E$132,"410",$BJ$4:$BJ$132)</f>
        <v>67992429</v>
      </c>
      <c r="BK140" s="126">
        <f>SUMIF($E$4:$E$132,"410",$BK$4:$BK$132)</f>
        <v>0</v>
      </c>
      <c r="BL140" s="126">
        <f>SUMIF($E$4:$E$132,"410",$BL$4:$BL$132)</f>
        <v>144242598</v>
      </c>
      <c r="BM140" s="126">
        <f>SUMIF($E$4:$E$132,"510",$BM$4:$BM$132)</f>
        <v>0</v>
      </c>
      <c r="BN140" s="126">
        <f>SUMIF($E$4:$E$132,"410",$BN$4:$BN$132)</f>
        <v>0</v>
      </c>
      <c r="BO140" s="126">
        <f>SUMIF($E$4:$E$132,"410",$BO$4:$BO$132)</f>
        <v>0</v>
      </c>
      <c r="BP140" s="126">
        <f>SUMIF($E$4:$E$132,"410",$BP$4:$BP$132)</f>
        <v>90420000</v>
      </c>
      <c r="BQ140" s="127">
        <f>SUMIF($E$4:$E$132,"410",$BQ$4:$BQ$132)</f>
        <v>29964067</v>
      </c>
      <c r="BR140" s="128">
        <f t="shared" si="180"/>
        <v>0.63125973662254498</v>
      </c>
      <c r="BS140" s="28">
        <f t="shared" si="181"/>
        <v>3782443603</v>
      </c>
      <c r="BT140" s="123">
        <f>SUMIF($E$4:$E$132,"410",$BT$4:$BT$132)</f>
        <v>0</v>
      </c>
      <c r="BU140" s="123">
        <f>SUMIF($E$4:$E$132,"410",$BU$4:$BU$132)</f>
        <v>0</v>
      </c>
      <c r="BV140" s="123">
        <f>SUMIF($E$4:$E$132,"410",$BV$4:$BV$132)</f>
        <v>1276175353</v>
      </c>
      <c r="BW140" s="123">
        <f>SUMIF($E$4:$E$132,"410",$BW$4:$BW$132)</f>
        <v>0</v>
      </c>
      <c r="BX140" s="123">
        <f>SUMIF($E$4:$E$132,"410",$BX$4:$BX$132)</f>
        <v>0</v>
      </c>
      <c r="BY140" s="123">
        <f>SUMIF($E$4:$E$132,"410",$BY$4:$BY$132)</f>
        <v>42967109</v>
      </c>
      <c r="BZ140" s="123">
        <f>SUMIF($E$4:$E$132,"410",$BZ$4:$BZ$132)</f>
        <v>0</v>
      </c>
      <c r="CA140" s="123">
        <f>SUMIF($E$4:$E$132,"410",$CA$4:$CA$132)</f>
        <v>0</v>
      </c>
      <c r="CB140" s="123">
        <f>SUMIF($E$4:$E$132,"410",$CB$4:$CB$132)</f>
        <v>0</v>
      </c>
      <c r="CC140" s="123">
        <f>SUMIF($E$4:$E$132,"410",$CC$4:$CC$132)</f>
        <v>0</v>
      </c>
      <c r="CD140" s="123">
        <f>SUMIF($E$4:$E$132,"410",$CD$4:$CD$132)</f>
        <v>0</v>
      </c>
      <c r="CE140" s="123">
        <f>SUMIF($E$4:$E$132,"410",$CE$4:$CE$132)</f>
        <v>1202759755</v>
      </c>
      <c r="CF140" s="123">
        <f>SUMIF($E$4:$E$132,"410",$CF$4:$CF$132)</f>
        <v>305174306</v>
      </c>
      <c r="CG140" s="123">
        <f>SUMIF($E$4:$E$132,"410",$CG$4:$CG$132)</f>
        <v>0</v>
      </c>
      <c r="CH140" s="123">
        <f>SUMIF($E$4:$E$132,"410",$CH$4:$CH$132)</f>
        <v>845852866</v>
      </c>
      <c r="CI140" s="123">
        <f>SUMIF($E$4:$E$132,"410",$CI$4:$CI$132)</f>
        <v>0</v>
      </c>
      <c r="CJ140" s="123">
        <f>SUMIF($E$4:$E$132,"410",$CJ$4:$CJ$132)</f>
        <v>5867630</v>
      </c>
      <c r="CK140" s="123">
        <f>SUMIF($E$4:$E$132,"410",$CK$4:$CK$132)</f>
        <v>0</v>
      </c>
      <c r="CL140" s="123">
        <f>SUMIF($E$4:$E$132,"410",$CL$4:$CL$132)</f>
        <v>23350298</v>
      </c>
      <c r="CM140" s="129">
        <f>SUMIF($E$4:$E$132,"410",$CM$4:$CM$132)</f>
        <v>80296286</v>
      </c>
      <c r="CN140" s="25">
        <f t="shared" si="182"/>
        <v>0.36874026337745502</v>
      </c>
      <c r="CO140" s="28">
        <f t="shared" si="183"/>
        <v>2209453842</v>
      </c>
      <c r="CP140" s="126">
        <f>SUMIF($E$4:$E$132,"410",$CP$4:$CP$132)</f>
        <v>0</v>
      </c>
      <c r="CQ140" s="126">
        <f>SUMIF($E$4:$E$132,"410",$CQ$4:$CQ$132)</f>
        <v>986921342</v>
      </c>
      <c r="CR140" s="126">
        <f>SUMIF($E$4:$E$132,"410",$CR$4:$CR$132)</f>
        <v>0</v>
      </c>
      <c r="CS140" s="126">
        <f>SUMIF($E$4:$E$132,"410",$CS$4:$CS$132)</f>
        <v>0</v>
      </c>
      <c r="CT140" s="126">
        <f>SUMIF($E$4:$E$132,"410",$CT$4:$CT$132)</f>
        <v>31401481</v>
      </c>
      <c r="CU140" s="126">
        <f>SUMIF($E$4:$E$132,"410",$CU$4:$CU$132)</f>
        <v>0</v>
      </c>
      <c r="CV140" s="130">
        <f>SUMIF($E$4:$E$132,"410",$CV$4:$CV$132)</f>
        <v>0</v>
      </c>
      <c r="CW140" s="130">
        <f>SUMIF($E$4:$E$132,"410",$CW$4:$CW$132)</f>
        <v>0</v>
      </c>
      <c r="CX140" s="130">
        <f>SUMIF($E$4:$E$132,"410",$CX$4:$CX$132)</f>
        <v>0</v>
      </c>
      <c r="CY140" s="130">
        <f>SUMIF($E$4:$E$132,"410",$CY$4:$CY$132)</f>
        <v>0</v>
      </c>
      <c r="CZ140" s="130">
        <f>SUMIF($E$4:$E$132,"410",$CZ$4:$CZ$132)</f>
        <v>642844310</v>
      </c>
      <c r="DA140" s="130">
        <f>SUMIF($E$4:$E$132,"410",$DA$4:$DA$132)</f>
        <v>82522429</v>
      </c>
      <c r="DB140" s="130">
        <f>SUMIF($E$4:$E$132,"410",$DB$4:$DB$132)</f>
        <v>0</v>
      </c>
      <c r="DC140" s="130">
        <f>SUMIF($E$4:$E$132,"410",$DC$4:$DC$132)</f>
        <v>208980902</v>
      </c>
      <c r="DD140" s="130">
        <f>SUMIF($E$4:$E$132,"410",$DD$4:$DD$132)</f>
        <v>0</v>
      </c>
      <c r="DE140" s="130">
        <f>SUMIF($E$4:$E$132,"410",$DE$4:$DE$132)</f>
        <v>45427753</v>
      </c>
      <c r="DF140" s="130">
        <f>SUMIF($E$4:$E$132,"410",$DF$4:$DF$132)</f>
        <v>0</v>
      </c>
      <c r="DG140" s="130">
        <f>SUMIF($E$4:$E$132,"410",$DG$4:$DG$132)</f>
        <v>181391538</v>
      </c>
      <c r="DH140" s="130">
        <f>SUMIF($E$4:$E$132,"410",$DH$4:$DH$132)</f>
        <v>29964087</v>
      </c>
      <c r="DJ140" s="77" t="s">
        <v>410</v>
      </c>
      <c r="DK140" s="77"/>
      <c r="DL140" s="196">
        <f>+G137</f>
        <v>4952937690</v>
      </c>
      <c r="DM140" s="196">
        <f>+BS137</f>
        <v>2527603512</v>
      </c>
      <c r="DN140" s="198">
        <f>+BR137</f>
        <v>0.51032410868064038</v>
      </c>
    </row>
    <row r="141" spans="1:118" ht="14.25" customHeight="1" x14ac:dyDescent="0.25">
      <c r="C141" s="132"/>
      <c r="D141" s="133" t="s">
        <v>377</v>
      </c>
      <c r="E141" s="114">
        <v>510</v>
      </c>
      <c r="F141" s="122"/>
      <c r="G141" s="123">
        <f>SUMIF($E$4:$E$132,"510",$G$4:$G$132)</f>
        <v>1025280977</v>
      </c>
      <c r="H141" s="124">
        <f>SUMIF($E$4:$E$132,"510",$H$4:$H$132)</f>
        <v>0</v>
      </c>
      <c r="I141" s="124">
        <f>SUMIF($E$4:$E$133,"510",$I$4:$I$133)</f>
        <v>0</v>
      </c>
      <c r="J141" s="123">
        <f>SUMIF($E$4:$E$132,"510",$J$4:$J$132)</f>
        <v>0</v>
      </c>
      <c r="K141" s="122">
        <f>SUMIF($E$4:$E$132,"510",$K$4:$K$132)</f>
        <v>801368554</v>
      </c>
      <c r="L141" s="122">
        <f>SUMIF($E$4:$E$132,"510",$L$4:$L$132)</f>
        <v>14004396</v>
      </c>
      <c r="M141" s="122">
        <f>SUMIF($E$4:$E$132,"510",$M$4:$M$132)</f>
        <v>0</v>
      </c>
      <c r="N141" s="122">
        <f>SUMIF($E$4:$E$132,"510",$N$4:$N$132)</f>
        <v>0</v>
      </c>
      <c r="O141" s="122">
        <f>SUMIF($E$4:$E$132,"510",$O$4:$O$132)</f>
        <v>0</v>
      </c>
      <c r="P141" s="122">
        <f>SUMIF($E$4:$E$132,"510",$P$4:$P$132)</f>
        <v>0</v>
      </c>
      <c r="Q141" s="122">
        <f>SUMIF($E$4:$E$132,"510",$Q$4:$Q$132)</f>
        <v>0</v>
      </c>
      <c r="R141" s="122">
        <f>SUMIF($E$4:$E$132,"510",$R$4:$R$132)</f>
        <v>0</v>
      </c>
      <c r="S141" s="122">
        <f>SUMIF($E$4:$E$132,"510",$S$4:$S$132)</f>
        <v>40431446</v>
      </c>
      <c r="T141" s="122">
        <f>SUMIF($E$4:$E$132,"510",$T$4:$T$132)</f>
        <v>1796640</v>
      </c>
      <c r="U141" s="122">
        <f>SUMIF($E$4:$E$132,"510",$U$4:$U$132)</f>
        <v>6000000</v>
      </c>
      <c r="V141" s="122">
        <f>SUMIF($E$4:$E$124,"510",$V$4:$V$124)</f>
        <v>0</v>
      </c>
      <c r="W141" s="122"/>
      <c r="X141" s="122">
        <f>SUMIF($E$4:$E$132,"510",$X$4:$X$132)</f>
        <v>0</v>
      </c>
      <c r="Y141" s="122">
        <f>SUMIF($E$4:$E$132,"510",$Y$4:$Y$132)</f>
        <v>0</v>
      </c>
      <c r="Z141" s="122">
        <f>SUMIF($E$4:$E$132,"510",$Z$4:$Z$132)</f>
        <v>161679941</v>
      </c>
      <c r="AA141" s="125">
        <f t="shared" si="176"/>
        <v>0.89414504664119987</v>
      </c>
      <c r="AB141" s="28">
        <f t="shared" si="177"/>
        <v>916749907</v>
      </c>
      <c r="AC141" s="123">
        <f>SUMIF($E$4:$E$132,"510",$AC$4:$AC$132)</f>
        <v>0</v>
      </c>
      <c r="AD141" s="123">
        <f>SUMIF($E$4:$E$132,"510",$AD$4:$AD$132)</f>
        <v>0</v>
      </c>
      <c r="AE141" s="123">
        <f>SUMIF($E$4:$E$132,"510",$AE$4:$AE$132)</f>
        <v>0</v>
      </c>
      <c r="AF141" s="123">
        <f>SUMIF($E$4:$E$132,"510",$AF$4:$AF$132)</f>
        <v>0</v>
      </c>
      <c r="AG141" s="123">
        <f>SUMIF($E$4:$E$132,"510",$AG$4:$AG$132)</f>
        <v>762817679</v>
      </c>
      <c r="AH141" s="123">
        <f>SUMIF($E$4:$E$132,"510",$AH$4:$AH$132)</f>
        <v>14004396</v>
      </c>
      <c r="AI141" s="123">
        <f>SUMIF($E$4:$E$132,"510",$AI$4:$AI$132)</f>
        <v>0</v>
      </c>
      <c r="AJ141" s="123">
        <f>SUMIF($E$4:$E$132,"510",$AJ$4:$AJ$132)</f>
        <v>0</v>
      </c>
      <c r="AK141" s="123">
        <f>SUMIF($E$4:$E$132,"510",$AK$4:$AK$132)</f>
        <v>0</v>
      </c>
      <c r="AL141" s="123">
        <f>SUMIF($E$4:$E$132,"510",$AL$4:$AL$132)</f>
        <v>0</v>
      </c>
      <c r="AM141" s="123">
        <f>SUMIF($E$4:$E$132,"510",$AM$4:$AM$132)</f>
        <v>0</v>
      </c>
      <c r="AN141" s="123">
        <f>SUMIF($E$4:$E$132,"510",$AN$4:$AN$132)</f>
        <v>0</v>
      </c>
      <c r="AO141" s="123">
        <f>SUMIF($E$4:$E$132,"510",$AO$4:$AO$132)</f>
        <v>23188762</v>
      </c>
      <c r="AP141" s="123">
        <f>SUMIF($E$4:$E$132,"510",$AP$4:$AP$132)</f>
        <v>1796640</v>
      </c>
      <c r="AQ141" s="123">
        <f>SUMIF($E$4:$E$132,"510",$AQ$4:$AQ$132)</f>
        <v>0</v>
      </c>
      <c r="AR141" s="123">
        <f>SUMIF($E$4:$E$132,"510",$AR$4:$AR$132)</f>
        <v>0</v>
      </c>
      <c r="AS141" s="123">
        <f>SUMIF($E$4:$E$132,"510",$AS$4:$AS$132)</f>
        <v>0</v>
      </c>
      <c r="AT141" s="123">
        <f>SUMIF($E$4:$E$132,"510",$AT$4:$AT$132)</f>
        <v>0</v>
      </c>
      <c r="AU141" s="123">
        <f>SUMIF($E$4:$E$132," 510",$AU$4:$AU$132)</f>
        <v>0</v>
      </c>
      <c r="AV141" s="123">
        <f>SUMIF($E$4:$E$132,"510",$AV$4:$AV$132)</f>
        <v>114942430</v>
      </c>
      <c r="AW141" s="108">
        <f t="shared" si="178"/>
        <v>0.10585495335880013</v>
      </c>
      <c r="AX141" s="28">
        <f t="shared" si="179"/>
        <v>108531070</v>
      </c>
      <c r="AY141" s="126">
        <f>SUMIF($E$4:$E$132,"510",$AY$4:$AY$132)</f>
        <v>0</v>
      </c>
      <c r="AZ141" s="126">
        <f>SUMIF($E$4:$E$132,"510",$AZ$4:$AZ$132)</f>
        <v>0</v>
      </c>
      <c r="BA141" s="126">
        <f>SUMIF($E$4:$E$132,"510",$BA$4:$BA$132)</f>
        <v>0</v>
      </c>
      <c r="BB141" s="126">
        <f>SUMIF($E$4:$E$132,"510",$BB$4:$BB$132)</f>
        <v>38550875</v>
      </c>
      <c r="BC141" s="126">
        <f>SUMIF($E$4:$E$132,"510",$BC$4:$BC$132)</f>
        <v>0</v>
      </c>
      <c r="BD141" s="126">
        <f>SUMIF($E$4:$E$132,"510",$BD$4:$BD$132)</f>
        <v>0</v>
      </c>
      <c r="BE141" s="126">
        <f>SUMIF($E$4:$E$132,"510",$BE$4:$BE$132)</f>
        <v>0</v>
      </c>
      <c r="BF141" s="126">
        <f>SUMIF($E$4:$E$132,"510",$BF$4:$BF$132)</f>
        <v>0</v>
      </c>
      <c r="BG141" s="126">
        <f>SUMIF($E$4:$E$132,"510",$BG$4:$BG$132)</f>
        <v>0</v>
      </c>
      <c r="BH141" s="126">
        <f>SUMIF($E$4:$E$132,"510",$BH$4:$BH$132)</f>
        <v>0</v>
      </c>
      <c r="BI141" s="126">
        <f>SUMIF($E$4:$E$132,"510",$BI$4:$BI$132)</f>
        <v>0</v>
      </c>
      <c r="BJ141" s="126">
        <f>SUMIF($E$4:$E$132,"510",$BJ$4:$BJ$132)</f>
        <v>17242684</v>
      </c>
      <c r="BK141" s="126">
        <f>SUMIF($E$4:$E$132,"510",$BK$4:$BK$132)</f>
        <v>0</v>
      </c>
      <c r="BL141" s="126">
        <f>SUMIF($E$4:$E$132,"510",$BL$4:$BL$132)</f>
        <v>6000000</v>
      </c>
      <c r="BM141" s="126">
        <f>SUMIF($E$4:$E$132,"520",$BM$4:$BM$132)</f>
        <v>0</v>
      </c>
      <c r="BN141" s="126"/>
      <c r="BO141" s="126">
        <f>SUMIF($E$4:$E$132,"510",$BO$4:$BO$132)</f>
        <v>0</v>
      </c>
      <c r="BP141" s="126">
        <f>SUMIF($E$4:$E$132,"510",$BP$4:$BP$132)</f>
        <v>0</v>
      </c>
      <c r="BQ141" s="127">
        <f>SUMIF($E$4:$E$132,"510",$BQ$4:$BQ$132)</f>
        <v>46737511</v>
      </c>
      <c r="BR141" s="128">
        <f t="shared" si="180"/>
        <v>0.83585766363048397</v>
      </c>
      <c r="BS141" s="28">
        <f t="shared" si="181"/>
        <v>856988962</v>
      </c>
      <c r="BT141" s="123">
        <f>SUMIF($E$4:$E$132,"510",$BT$4:$BT$132)</f>
        <v>0</v>
      </c>
      <c r="BU141" s="123">
        <f>SUMIF($E$4:$E$132,"510",$BU$4:$BU$132)</f>
        <v>0</v>
      </c>
      <c r="BV141" s="123">
        <f>SUMIF($E$4:$E$132,"510",$BV$4:$BV$132)</f>
        <v>0</v>
      </c>
      <c r="BW141" s="123">
        <f>SUMIF($E$4:$E$132,"510",$BW$4:$BW$132)</f>
        <v>0</v>
      </c>
      <c r="BX141" s="123">
        <f>SUMIF($E$4:$E$132,"510",$BX$4:$BX$132)</f>
        <v>717689668</v>
      </c>
      <c r="BY141" s="123">
        <f>SUMIF($E$4:$E$132,"510",$BY$4:$BY$132)</f>
        <v>14004396</v>
      </c>
      <c r="BZ141" s="123">
        <f>SUMIF($E$4:$E$132,"510",$BZ$4:$BZ$132)</f>
        <v>0</v>
      </c>
      <c r="CA141" s="123">
        <f>SUMIF($E$4:$E$132,"510",$CA$4:$CA$132)</f>
        <v>0</v>
      </c>
      <c r="CB141" s="123">
        <f>SUMIF($E$4:$E$132,"510",$CB$4:$CB$132)</f>
        <v>0</v>
      </c>
      <c r="CC141" s="123">
        <f>SUMIF($E$4:$E$132,"510",$CC$4:$CC$132)</f>
        <v>0</v>
      </c>
      <c r="CD141" s="123">
        <f>SUMIF($E$4:$E$132,"510",$CD$4:$CD$132)</f>
        <v>0</v>
      </c>
      <c r="CE141" s="123">
        <f>SUMIF($E$4:$E$132,"510",$CE$4:$CE$132)</f>
        <v>0</v>
      </c>
      <c r="CF141" s="123">
        <f>SUMIF($E$4:$E$132,"510",$CF$4:$CF$132)</f>
        <v>23178230</v>
      </c>
      <c r="CG141" s="123">
        <f>SUMIF($E$4:$E$132,"510",$CG$4:$CG$132)</f>
        <v>1796640</v>
      </c>
      <c r="CH141" s="123">
        <f>SUMIF($E$4:$E$132,"510",$CH$4:$CH$132)</f>
        <v>0</v>
      </c>
      <c r="CI141" s="123">
        <f>SUMIF($E$4:$E$132,"510",$CI$4:$CI$132)</f>
        <v>0</v>
      </c>
      <c r="CJ141" s="123">
        <f>SUMIF($E$4:$E$132,"111",$CJ$4:$CJ$132)</f>
        <v>0</v>
      </c>
      <c r="CK141" s="123">
        <f>SUMIF($E$4:$E$132,"510",$CK$4:$CK$132)</f>
        <v>0</v>
      </c>
      <c r="CL141" s="123">
        <f>SUMIF($E$4:$E$132,"510",$CL$4:$CL$132)</f>
        <v>0</v>
      </c>
      <c r="CM141" s="129">
        <f>SUMIF($E$4:$E$132,"510",$CM$4:$CM$132)</f>
        <v>100320028</v>
      </c>
      <c r="CN141" s="25">
        <f t="shared" si="182"/>
        <v>0.16414233636951603</v>
      </c>
      <c r="CO141" s="28">
        <f t="shared" si="183"/>
        <v>168292015</v>
      </c>
      <c r="CP141" s="126">
        <f>SUMIF($E$4:$E$132,"510",$CP$4:$CP$132)</f>
        <v>0</v>
      </c>
      <c r="CQ141" s="126">
        <f>SUMIF($E$4:$E$132,"510",$CQ$4:$CQ$132)</f>
        <v>0</v>
      </c>
      <c r="CR141" s="126">
        <f>SUMIF($E$4:$E$132,"510",$CR$4:$CR$132)</f>
        <v>0</v>
      </c>
      <c r="CS141" s="126">
        <f>SUMIF($E$4:$E$132,"510",$CS$4:$CS$132)</f>
        <v>83678886</v>
      </c>
      <c r="CT141" s="126">
        <f>SUMIF($E$4:$E$132,"510",$CT$4:$CT$132)</f>
        <v>0</v>
      </c>
      <c r="CU141" s="126">
        <f>SUMIF($E$4:$E$132,"510",$CU$4:$CU$132)</f>
        <v>0</v>
      </c>
      <c r="CV141" s="130">
        <f>SUMIF($E$4:$E$132,"510",$CV$4:$CV$132)</f>
        <v>0</v>
      </c>
      <c r="CW141" s="130">
        <f>SUMIF($E$4:$E$132,"510",$CW$4:$CW$132)</f>
        <v>0</v>
      </c>
      <c r="CX141" s="130">
        <f>SUMIF($E$4:$E$132,"510",$CX$4:$CX$132)</f>
        <v>0</v>
      </c>
      <c r="CY141" s="130">
        <f>SUMIF($E$4:$E$132,"510",$CY$4:$CY$132)</f>
        <v>0</v>
      </c>
      <c r="CZ141" s="130">
        <f>SUMIF($E$4:$E$132,"510",$CZ$4:$CZ$132)</f>
        <v>0</v>
      </c>
      <c r="DA141" s="130">
        <f>SUMIF($E$4:$E$132,"510",$DA$4:$DA$132)</f>
        <v>17253216</v>
      </c>
      <c r="DB141" s="130">
        <f>SUMIF($E$4:$E$132,"510",$DB$4:$DB$132)</f>
        <v>0</v>
      </c>
      <c r="DC141" s="130">
        <f>SUMIF($E$4:$E$132,"510",$DC$4:$DC$132)</f>
        <v>6000000</v>
      </c>
      <c r="DD141" s="130">
        <f>SUMIF($E$4:$E$132,"510",$DD$4:$DD$132)</f>
        <v>0</v>
      </c>
      <c r="DE141" s="130">
        <f>SUMIF($E$4:$E$132,"510",$DE$4:$DE$132)</f>
        <v>0</v>
      </c>
      <c r="DF141" s="130">
        <f>SUMIF($E$4:$E$132,"510",$DF$4:$DF$132)</f>
        <v>0</v>
      </c>
      <c r="DG141" s="130">
        <f>SUMIF($E$4:$E$132,"510",$DG$4:$DG$132)</f>
        <v>0</v>
      </c>
      <c r="DH141" s="130">
        <f>SUMIF($E$4:$E$132,"510",$DH$4:$DH$132)</f>
        <v>61359913</v>
      </c>
      <c r="DJ141" s="278" t="s">
        <v>411</v>
      </c>
      <c r="DK141" s="278"/>
      <c r="DL141" s="196">
        <f t="shared" ref="DL141:DL146" si="184">+G138</f>
        <v>3987310612</v>
      </c>
      <c r="DM141" s="196">
        <f t="shared" ref="DM141:DM146" si="185">+BS138</f>
        <v>1966467147</v>
      </c>
      <c r="DN141" s="198">
        <f t="shared" ref="DN141:DN146" si="186">+BR138</f>
        <v>0.49318132905969853</v>
      </c>
    </row>
    <row r="142" spans="1:118" x14ac:dyDescent="0.25">
      <c r="C142" s="132"/>
      <c r="D142" s="121" t="s">
        <v>378</v>
      </c>
      <c r="E142" s="114">
        <v>520</v>
      </c>
      <c r="F142" s="122"/>
      <c r="G142" s="123">
        <f>SUMIF($E$4:$E$132,"520",$G$4:$G$132)</f>
        <v>1760134547</v>
      </c>
      <c r="H142" s="124">
        <f>SUMIF($E$4:$E$132,"520",$H$4:$H$132)</f>
        <v>0</v>
      </c>
      <c r="I142" s="124">
        <f>SUMIF($E$4:$E$132,"520",$I$4:$I$132)</f>
        <v>0</v>
      </c>
      <c r="J142" s="123">
        <f>SUMIF($E$4:$E$132,"520",$J$4:$J$132)</f>
        <v>0</v>
      </c>
      <c r="K142" s="122">
        <f>SUMIF($E$4:$E$132,"520",$K$4:$K$132)</f>
        <v>520000000</v>
      </c>
      <c r="L142" s="122">
        <f>SUMIF($E$4:$E$132,"520",$L$4:$L$132)</f>
        <v>50000000</v>
      </c>
      <c r="M142" s="122">
        <f>SUMIF($E$4:$E$132,"520",$M$4:$M$132)</f>
        <v>0</v>
      </c>
      <c r="N142" s="122">
        <f>SUMIF($E$4:$E$132,"520",$N$4:$N$132)</f>
        <v>0</v>
      </c>
      <c r="O142" s="122">
        <f>SUMIF($E$4:$E$132,"520",$O$4:$O$132)</f>
        <v>0</v>
      </c>
      <c r="P142" s="122">
        <f>SUMIF($E$4:$E$132,"520",$P$4:$P$132)</f>
        <v>0</v>
      </c>
      <c r="Q142" s="122">
        <f>SUMIF($E$4:$E$132,"520",$Q$4:$Q$132)</f>
        <v>0</v>
      </c>
      <c r="R142" s="122">
        <f>SUMIF($E$4:$E$132,"520",$R$4:$R$132)</f>
        <v>244000000</v>
      </c>
      <c r="S142" s="122">
        <f>SUMIF($E$4:$E$132,"520",$S$4:$S$132)</f>
        <v>333901442</v>
      </c>
      <c r="T142" s="122">
        <f>SUMIF($E$4:$E$132,"520",$T$4:$T$132)</f>
        <v>0</v>
      </c>
      <c r="U142" s="122">
        <f>SUMIF($E$4:$E$132,"520",$U$4:$U$132)</f>
        <v>0</v>
      </c>
      <c r="V142" s="122">
        <f>SUMIF($E$4:$E$124,"520",$V$4:$V$124)</f>
        <v>0</v>
      </c>
      <c r="W142" s="122"/>
      <c r="X142" s="122">
        <f>SUMIF($E$4:$E$132,"520",$X$4:$X$132)</f>
        <v>0</v>
      </c>
      <c r="Y142" s="122">
        <f>SUMIF($E$4:$E$132,"520",$Y$4:$Y$132)</f>
        <v>0</v>
      </c>
      <c r="Z142" s="122">
        <f>SUMIF($E$4:$E$132,"520",$Z$4:$Z$132)</f>
        <v>612233105</v>
      </c>
      <c r="AA142" s="125">
        <f t="shared" si="176"/>
        <v>0.83588880890251627</v>
      </c>
      <c r="AB142" s="28">
        <f t="shared" si="177"/>
        <v>1471276770</v>
      </c>
      <c r="AC142" s="123">
        <f>SUMIF($E$4:$E$132,"520",$AC$4:$AC$132)</f>
        <v>0</v>
      </c>
      <c r="AD142" s="123">
        <f>SUMIF($E$4:$E$132,"520",$AD$4:$AD$132)</f>
        <v>0</v>
      </c>
      <c r="AE142" s="123">
        <f>SUMIF($E$4:$E$132,"520",$AE$4:$AE$132)</f>
        <v>0</v>
      </c>
      <c r="AF142" s="123">
        <f>SUMIF($E$4:$E$132,"520",$AF$4:$AF$132)</f>
        <v>0</v>
      </c>
      <c r="AG142" s="123">
        <f>SUMIF($E$4:$E$132,"520",$AG$4:$AG$132)</f>
        <v>396302174</v>
      </c>
      <c r="AH142" s="123">
        <f>SUMIF($E$4:$E$132,"520",$AH$4:$AH$132)</f>
        <v>49797725</v>
      </c>
      <c r="AI142" s="123">
        <f>SUMIF($E$4:$E$132,"520",$AI$4:$AI$132)</f>
        <v>0</v>
      </c>
      <c r="AJ142" s="123">
        <f>SUMIF($E$4:$E$132,"520",$AJ$4:$AJ$132)</f>
        <v>0</v>
      </c>
      <c r="AK142" s="123">
        <f>SUMIF($E$4:$E$132,"520",$AK$4:$AK$132)</f>
        <v>0</v>
      </c>
      <c r="AL142" s="123">
        <f>SUMIF($E$4:$E$132,"520",$AL$4:$AL$132)</f>
        <v>0</v>
      </c>
      <c r="AM142" s="123">
        <f>SUMIF($E$4:$E$132,"520",$AM$4:$AM$132)</f>
        <v>0</v>
      </c>
      <c r="AN142" s="123">
        <f>SUMIF($E$4:$E$132,"520",$AN$4:$AN$132)</f>
        <v>187101991</v>
      </c>
      <c r="AO142" s="123">
        <f>SUMIF($E$4:$E$132,"520",$AO$4:$AO$132)</f>
        <v>292539894</v>
      </c>
      <c r="AP142" s="123">
        <f>SUMIF($E$4:$E$132,"520",$AP$4:$AP$132)</f>
        <v>0</v>
      </c>
      <c r="AQ142" s="123">
        <f>SUMIF($E$4:$E$132,"520",$AQ$4:$AQ$132)</f>
        <v>0</v>
      </c>
      <c r="AR142" s="123">
        <f>SUMIF($E$4:$E$132,"520",$AR$4:$AR$132)</f>
        <v>0</v>
      </c>
      <c r="AS142" s="123">
        <f>SUMIF($E$4:$E$132,"520",$AS$4:$AS$132)</f>
        <v>0</v>
      </c>
      <c r="AT142" s="123">
        <f>SUMIF($E$4:$E$132,"520",$AT$4:$AT$132)</f>
        <v>0</v>
      </c>
      <c r="AU142" s="123">
        <f>SUMIF($E$4:$E$132,"520",$AU$4:$AU$132)</f>
        <v>0</v>
      </c>
      <c r="AV142" s="123">
        <f>SUMIF($E$4:$E$132,"520",$AV$4:$AV$132)</f>
        <v>545534986</v>
      </c>
      <c r="AW142" s="108">
        <f t="shared" si="178"/>
        <v>0.16411119109748373</v>
      </c>
      <c r="AX142" s="28">
        <f t="shared" si="179"/>
        <v>288857777</v>
      </c>
      <c r="AY142" s="126">
        <f>SUMIF($E$4:$E$132,"520",$AY$4:$AY$132)</f>
        <v>0</v>
      </c>
      <c r="AZ142" s="126">
        <f>SUMIF($E$4:$E$132,"520",$AZ$4:$AZ$132)</f>
        <v>0</v>
      </c>
      <c r="BA142" s="126">
        <f>SUMIF($E$4:$E$132,"520",$BA$4:$BA$132)</f>
        <v>0</v>
      </c>
      <c r="BB142" s="126">
        <f>SUMIF($E$4:$E$132,"520",$BB$4:$BB$132)</f>
        <v>123697826</v>
      </c>
      <c r="BC142" s="126">
        <f>SUMIF($E$4:$E$132,"520",$BC$4:$BC$132)</f>
        <v>202275</v>
      </c>
      <c r="BD142" s="126">
        <f>SUMIF($E$4:$E$132,"520",$BD$4:$BD$132)</f>
        <v>0</v>
      </c>
      <c r="BE142" s="126">
        <f>SUMIF($E$4:$E$132,"520",$BE$4:$BE$132)</f>
        <v>0</v>
      </c>
      <c r="BF142" s="126">
        <f>SUMIF($E$4:$E$132,"520",$BF$4:$BF$132)</f>
        <v>0</v>
      </c>
      <c r="BG142" s="126">
        <f>SUMIF($E$4:$E$132,"520",$BG$4:$BG$132)</f>
        <v>0</v>
      </c>
      <c r="BH142" s="126">
        <f>SUMIF($E$4:$E$132,"520",$BH$4:$BH$132)</f>
        <v>0</v>
      </c>
      <c r="BI142" s="126">
        <f>SUMIF($E$4:$E$132,"520",$BI$4:$BI$132)</f>
        <v>56898009</v>
      </c>
      <c r="BJ142" s="126">
        <f>SUMIF($E$4:$E$132,"520",$BJ$4:$BJ$132)</f>
        <v>41361548</v>
      </c>
      <c r="BK142" s="126">
        <f>SUMIF($E$4:$E$132,"520",$BK$4:$BK$132)</f>
        <v>0</v>
      </c>
      <c r="BL142" s="126">
        <f>SUMIF($E$4:$E$132,"520",$BL$4:$BL$132)</f>
        <v>0</v>
      </c>
      <c r="BM142" s="126">
        <f>SUMIF($E$4:$E$132,"111",$BM$4:$BM$132)</f>
        <v>0</v>
      </c>
      <c r="BN142" s="126"/>
      <c r="BO142" s="126">
        <f>SUMIF($E$4:$E$132,"520",$BO$4:$BO$132)</f>
        <v>0</v>
      </c>
      <c r="BP142" s="126">
        <f>SUMIF($E$4:$E$132,"520",$BP$4:$BP$132)</f>
        <v>0</v>
      </c>
      <c r="BQ142" s="127">
        <f>SUMIF($E$4:$E$132,"520",$BQ$4:$BQ$132)</f>
        <v>66698119</v>
      </c>
      <c r="BR142" s="128">
        <f t="shared" si="180"/>
        <v>0.80967760358379015</v>
      </c>
      <c r="BS142" s="28">
        <f t="shared" si="181"/>
        <v>1425141522</v>
      </c>
      <c r="BT142" s="123">
        <f>SUMIF($E$4:$E$132,"520",$BT$4:$BT$132)</f>
        <v>0</v>
      </c>
      <c r="BU142" s="123">
        <f>SUMIF($E$4:$E$132,"520",$BU$4:$BU$132)</f>
        <v>0</v>
      </c>
      <c r="BV142" s="123">
        <f>SUMIF($E$4:$E$132,"520",$BV$4:$BV$132)</f>
        <v>0</v>
      </c>
      <c r="BW142" s="123">
        <f>SUMIF($E$4:$E$132,"520",$BW$4:$BW$132)</f>
        <v>0</v>
      </c>
      <c r="BX142" s="123">
        <f>SUMIF($E$4:$E$132,"520",$BX$4:$BX$132)</f>
        <v>363309545</v>
      </c>
      <c r="BY142" s="123">
        <f>SUMIF($E$4:$E$132,"520",$BY$4:$BY$132)</f>
        <v>49797725</v>
      </c>
      <c r="BZ142" s="123">
        <f>SUMIF($E$4:$E$132,"520",$BZ$4:$BZ$132)</f>
        <v>0</v>
      </c>
      <c r="CA142" s="123">
        <f>SUMIF($E$4:$E$132,"520",$CA$4:$CA$132)</f>
        <v>0</v>
      </c>
      <c r="CB142" s="123">
        <f>SUMIF($E$4:$E$132,"520",$CB$4:$CB$132)</f>
        <v>0</v>
      </c>
      <c r="CC142" s="123">
        <f>SUMIF($E$4:$E$132,"520",$CC$4:$CC$132)</f>
        <v>0</v>
      </c>
      <c r="CD142" s="123">
        <f>SUMIF($E$4:$E$132,"520",$CD$4:$CD$132)</f>
        <v>0</v>
      </c>
      <c r="CE142" s="123">
        <f>SUMIF($E$4:$E$132,"520",$CE$4:$CE$132)</f>
        <v>185375614</v>
      </c>
      <c r="CF142" s="123">
        <f>SUMIF($E$4:$E$132,"520",$CF$4:$CF$132)</f>
        <v>289592456</v>
      </c>
      <c r="CG142" s="123">
        <f>SUMIF($E$4:$E$132,"520",$CG$4:$CG$132)</f>
        <v>0</v>
      </c>
      <c r="CH142" s="123">
        <f>SUMIF($E$4:$E$132,"520",$CH$4:$CH$132)</f>
        <v>0</v>
      </c>
      <c r="CI142" s="123">
        <f>SUMIF($E$4:$E$132,"520",$CI$4:$CI$132)</f>
        <v>0</v>
      </c>
      <c r="CJ142" s="123">
        <f>SUMIF($E$4:$E$132,"111",$CJ$4:$CJ$132)</f>
        <v>0</v>
      </c>
      <c r="CK142" s="123">
        <f>SUMIF($E$4:$E$132,"520",$CK$4:$CK$132)</f>
        <v>0</v>
      </c>
      <c r="CL142" s="123">
        <f>SUMIF($E$4:$E$132,"520",$CL$4:$CL$132)</f>
        <v>0</v>
      </c>
      <c r="CM142" s="129">
        <f>SUMIF($E$4:$E$132,"520",$CM$4:$CM$132)</f>
        <v>537066182</v>
      </c>
      <c r="CN142" s="25">
        <f t="shared" si="182"/>
        <v>0.19032239641620985</v>
      </c>
      <c r="CO142" s="28">
        <f t="shared" si="183"/>
        <v>334993025</v>
      </c>
      <c r="CP142" s="126">
        <f>SUMIF($E$4:$E$132,"520",$CP$4:$CP$132)</f>
        <v>0</v>
      </c>
      <c r="CQ142" s="126">
        <f>SUMIF($E$4:$E$132,"520",$CQ$4:$CQ$132)</f>
        <v>0</v>
      </c>
      <c r="CR142" s="126">
        <f>SUMIF($E$4:$E$132,"520",$CR$4:$CR$132)</f>
        <v>0</v>
      </c>
      <c r="CS142" s="126">
        <f>SUMIF($E$4:$E$132,"520",$CS$4:$CS$132)</f>
        <v>156690455</v>
      </c>
      <c r="CT142" s="126">
        <f>SUMIF($E$4:$E$132,"520",$CT$4:$CT$132)</f>
        <v>202275</v>
      </c>
      <c r="CU142" s="126">
        <f>SUMIF($E$4:$E$132,"520",$CU$4:$CU$132)</f>
        <v>0</v>
      </c>
      <c r="CV142" s="130">
        <f>SUMIF($E$4:$E$132,"520",$CV$4:$CV$132)</f>
        <v>0</v>
      </c>
      <c r="CW142" s="130">
        <f>SUMIF($E$4:$E$132,"520",$CW$4:$CW$132)</f>
        <v>0</v>
      </c>
      <c r="CX142" s="130">
        <f>SUMIF($E$4:$E$132,"520",$CX$4:$CX$132)</f>
        <v>0</v>
      </c>
      <c r="CY142" s="130">
        <f>SUMIF($E$4:$E$132,"520",$CY$4:$CY$132)</f>
        <v>0</v>
      </c>
      <c r="CZ142" s="130">
        <f>SUMIF($E$4:$E$132,"520",$CZ$4:$CZ$132)</f>
        <v>58624386</v>
      </c>
      <c r="DA142" s="130">
        <f>SUMIF($E$4:$E$132,"520",$DA$4:$DA$132)</f>
        <v>44308986</v>
      </c>
      <c r="DB142" s="130">
        <f>SUMIF($E$4:$E$132,"520",$DB$4:$DB$132)</f>
        <v>0</v>
      </c>
      <c r="DC142" s="130">
        <f>SUMIF($E$4:$E$132,"520",$DC$4:$DC$132)</f>
        <v>0</v>
      </c>
      <c r="DD142" s="130">
        <f>SUMIF($E$4:$E$132,"520",$DD$4:$DD$132)</f>
        <v>0</v>
      </c>
      <c r="DE142" s="130">
        <f>SUMIF($E$4:$E$132,"520",$DE$4:$DE$132)</f>
        <v>0</v>
      </c>
      <c r="DF142" s="130">
        <f>SUMIF($E$4:$E$132,"520",$DF$4:$DF$132)</f>
        <v>0</v>
      </c>
      <c r="DG142" s="130">
        <f>SUMIF($E$4:$E$132,"520",$DG$4:$DG$132)</f>
        <v>0</v>
      </c>
      <c r="DH142" s="130">
        <f>SUMIF($E$4:$E$132,"520",$DH$4:$DH$132)</f>
        <v>75166923</v>
      </c>
      <c r="DJ142" s="77" t="s">
        <v>375</v>
      </c>
      <c r="DK142" s="77"/>
      <c r="DL142" s="196">
        <f t="shared" si="184"/>
        <v>1110346880</v>
      </c>
      <c r="DM142" s="196">
        <f t="shared" si="185"/>
        <v>477335920</v>
      </c>
      <c r="DN142" s="198">
        <f t="shared" si="186"/>
        <v>0.42989801529410343</v>
      </c>
    </row>
    <row r="143" spans="1:118" x14ac:dyDescent="0.25">
      <c r="C143" s="132"/>
      <c r="D143" s="121" t="s">
        <v>379</v>
      </c>
      <c r="E143" s="114" t="s">
        <v>351</v>
      </c>
      <c r="F143" s="122"/>
      <c r="G143" s="123">
        <f>SUMIF($E$4:$E$132,"520-2",$G$4:$G$132)</f>
        <v>3185000000</v>
      </c>
      <c r="H143" s="124"/>
      <c r="I143" s="124"/>
      <c r="J143" s="124"/>
      <c r="K143" s="124"/>
      <c r="L143" s="124"/>
      <c r="M143" s="124"/>
      <c r="N143" s="124"/>
      <c r="O143" s="124"/>
      <c r="P143" s="124"/>
      <c r="Q143" s="124"/>
      <c r="R143" s="124"/>
      <c r="S143" s="124"/>
      <c r="T143" s="122">
        <f>SUMIF($E$4:$E$132,"520-2",$T$4:$T$132)</f>
        <v>485000000</v>
      </c>
      <c r="U143" s="124"/>
      <c r="V143" s="124"/>
      <c r="W143" s="124"/>
      <c r="X143" s="122">
        <f>SUMIF($E$4:$E$132,"520-2",$X$4:$X$132)</f>
        <v>2700000000</v>
      </c>
      <c r="Y143" s="124"/>
      <c r="Z143" s="122">
        <f>SUMIF($E$4:$E$132,"520-2",$Z$4:$Z$132)</f>
        <v>0</v>
      </c>
      <c r="AA143" s="125">
        <f t="shared" si="176"/>
        <v>0.89515172433281009</v>
      </c>
      <c r="AB143" s="28">
        <f t="shared" si="177"/>
        <v>2851058242</v>
      </c>
      <c r="AC143" s="123"/>
      <c r="AD143" s="123"/>
      <c r="AE143" s="123"/>
      <c r="AF143" s="123"/>
      <c r="AG143" s="123"/>
      <c r="AH143" s="123"/>
      <c r="AI143" s="123"/>
      <c r="AJ143" s="123"/>
      <c r="AK143" s="123"/>
      <c r="AL143" s="123"/>
      <c r="AM143" s="123"/>
      <c r="AN143" s="123"/>
      <c r="AO143" s="123"/>
      <c r="AP143" s="123">
        <f>SUMIF($E$4:$E$132,"520-2",$AP$4:$AP$132)</f>
        <v>451915027</v>
      </c>
      <c r="AQ143" s="123"/>
      <c r="AR143" s="123"/>
      <c r="AS143" s="123">
        <f>SUMIF($E$4:$E$132,"520-2",$AS$4:$AS$132)</f>
        <v>0</v>
      </c>
      <c r="AT143" s="123">
        <f>SUMIF($E$4:$E$132,"520-2",$AT$4:$AT$132)</f>
        <v>2399143215</v>
      </c>
      <c r="AU143" s="123"/>
      <c r="AV143" s="123"/>
      <c r="AW143" s="108">
        <f t="shared" si="178"/>
        <v>0.10484827566718991</v>
      </c>
      <c r="AX143" s="28">
        <f t="shared" si="179"/>
        <v>333941758</v>
      </c>
      <c r="AY143" s="126"/>
      <c r="AZ143" s="126"/>
      <c r="BA143" s="126"/>
      <c r="BB143" s="126"/>
      <c r="BC143" s="126"/>
      <c r="BD143" s="126"/>
      <c r="BE143" s="126"/>
      <c r="BF143" s="126"/>
      <c r="BG143" s="126"/>
      <c r="BH143" s="126"/>
      <c r="BI143" s="126"/>
      <c r="BJ143" s="126"/>
      <c r="BK143" s="126">
        <f>SUMIF($E$4:$E$132,"520-2",$BK$4:$BK$132)</f>
        <v>33084973</v>
      </c>
      <c r="BL143" s="126"/>
      <c r="BM143" s="126"/>
      <c r="BN143" s="126"/>
      <c r="BO143" s="126">
        <f>SUMIF($E$4:$E$132,"520-2",$BO$4:$BO$132)</f>
        <v>300856785</v>
      </c>
      <c r="BP143" s="126"/>
      <c r="BQ143" s="127"/>
      <c r="BR143" s="128">
        <f t="shared" si="180"/>
        <v>0.27659845714285713</v>
      </c>
      <c r="BS143" s="28">
        <f>SUM(BT143:CM143)</f>
        <v>880966086</v>
      </c>
      <c r="BT143" s="129"/>
      <c r="BU143" s="129"/>
      <c r="BV143" s="129"/>
      <c r="BW143" s="129"/>
      <c r="BX143" s="123"/>
      <c r="BY143" s="123"/>
      <c r="BZ143" s="123"/>
      <c r="CA143" s="123"/>
      <c r="CB143" s="123"/>
      <c r="CC143" s="123"/>
      <c r="CD143" s="123"/>
      <c r="CE143" s="123"/>
      <c r="CF143" s="123"/>
      <c r="CG143" s="123">
        <f>SUMIF($E$4:$E$132,"520-2",$CG$4:$CG$132)</f>
        <v>451915027</v>
      </c>
      <c r="CH143" s="123"/>
      <c r="CI143" s="123"/>
      <c r="CJ143" s="123">
        <f>SUMIF($E$4:$E$132,"111",$CJ$4:$CJ$132)</f>
        <v>0</v>
      </c>
      <c r="CK143" s="123">
        <f>SUMIF($E$4:$E$132,"520-2",$CK$4:$CK$132)</f>
        <v>429051059</v>
      </c>
      <c r="CL143" s="123"/>
      <c r="CM143" s="129"/>
      <c r="CN143" s="25">
        <f t="shared" si="182"/>
        <v>0.72340154285714287</v>
      </c>
      <c r="CO143" s="28">
        <f t="shared" si="183"/>
        <v>2304033914</v>
      </c>
      <c r="CP143" s="127"/>
      <c r="CQ143" s="127"/>
      <c r="CR143" s="127"/>
      <c r="CS143" s="126"/>
      <c r="CT143" s="126"/>
      <c r="CU143" s="126"/>
      <c r="CV143" s="130"/>
      <c r="CW143" s="130"/>
      <c r="CX143" s="130"/>
      <c r="CY143" s="130"/>
      <c r="CZ143" s="130"/>
      <c r="DA143" s="130"/>
      <c r="DB143" s="130">
        <f>SUMIF($E$4:$E$132,"520-2",$DB$4:$DB$132)</f>
        <v>33084973</v>
      </c>
      <c r="DC143" s="130"/>
      <c r="DD143" s="130"/>
      <c r="DE143" s="130">
        <f>SUMIF($E$4:$E$132,"520-2",$DE$4:$DE$132)</f>
        <v>0</v>
      </c>
      <c r="DF143" s="130">
        <f>SUMIF($E$4:$E$132,"520-2",$DF$4:$DF$132)</f>
        <v>2270948941</v>
      </c>
      <c r="DG143" s="130"/>
      <c r="DH143" s="130"/>
      <c r="DJ143" s="77" t="s">
        <v>412</v>
      </c>
      <c r="DK143" s="77"/>
      <c r="DL143" s="196">
        <f t="shared" si="184"/>
        <v>5991897445</v>
      </c>
      <c r="DM143" s="196">
        <f t="shared" si="185"/>
        <v>3782443603</v>
      </c>
      <c r="DN143" s="198">
        <f t="shared" si="186"/>
        <v>0.63125973662254498</v>
      </c>
    </row>
    <row r="144" spans="1:118" x14ac:dyDescent="0.25">
      <c r="C144" s="132"/>
      <c r="D144" s="121" t="s">
        <v>380</v>
      </c>
      <c r="E144" s="134"/>
      <c r="F144" s="135"/>
      <c r="G144" s="136">
        <f t="shared" ref="G144:Z144" si="187">SUM(G137:G143)</f>
        <v>22012908151</v>
      </c>
      <c r="H144" s="136">
        <f t="shared" si="187"/>
        <v>0</v>
      </c>
      <c r="I144" s="136">
        <f t="shared" si="187"/>
        <v>10070925003</v>
      </c>
      <c r="J144" s="136">
        <f t="shared" si="187"/>
        <v>171003327</v>
      </c>
      <c r="K144" s="136">
        <f t="shared" si="187"/>
        <v>1899736650</v>
      </c>
      <c r="L144" s="136">
        <f t="shared" si="187"/>
        <v>138372986</v>
      </c>
      <c r="M144" s="136">
        <f t="shared" si="187"/>
        <v>54387</v>
      </c>
      <c r="N144" s="136">
        <f t="shared" si="187"/>
        <v>30665828</v>
      </c>
      <c r="O144" s="136">
        <f t="shared" si="187"/>
        <v>1940856</v>
      </c>
      <c r="P144" s="136">
        <f t="shared" si="187"/>
        <v>3438802</v>
      </c>
      <c r="Q144" s="136">
        <f t="shared" si="187"/>
        <v>345941457</v>
      </c>
      <c r="R144" s="136">
        <f t="shared" si="187"/>
        <v>2094582849</v>
      </c>
      <c r="S144" s="136">
        <f t="shared" si="187"/>
        <v>1142029623</v>
      </c>
      <c r="T144" s="136">
        <f t="shared" si="187"/>
        <v>486796640</v>
      </c>
      <c r="U144" s="136">
        <f t="shared" si="187"/>
        <v>1060833768</v>
      </c>
      <c r="V144" s="136">
        <f t="shared" si="187"/>
        <v>0</v>
      </c>
      <c r="W144" s="136">
        <f t="shared" si="187"/>
        <v>51295383</v>
      </c>
      <c r="X144" s="136">
        <f t="shared" si="187"/>
        <v>2700000000</v>
      </c>
      <c r="Y144" s="136">
        <f t="shared" si="187"/>
        <v>204741836</v>
      </c>
      <c r="Z144" s="136">
        <f t="shared" si="187"/>
        <v>1610548756</v>
      </c>
      <c r="AA144" s="125">
        <f t="shared" si="176"/>
        <v>0.74594419961971525</v>
      </c>
      <c r="AB144" s="136">
        <f t="shared" ref="AB144:AV144" si="188">SUM(AB137:AB143)</f>
        <v>16420401152</v>
      </c>
      <c r="AC144" s="136">
        <f t="shared" si="188"/>
        <v>0</v>
      </c>
      <c r="AD144" s="136">
        <f t="shared" si="188"/>
        <v>0</v>
      </c>
      <c r="AE144" s="136">
        <f t="shared" si="188"/>
        <v>6640335408</v>
      </c>
      <c r="AF144" s="136">
        <f t="shared" si="188"/>
        <v>147809410</v>
      </c>
      <c r="AG144" s="136">
        <f t="shared" si="188"/>
        <v>1617714455</v>
      </c>
      <c r="AH144" s="136">
        <f t="shared" si="188"/>
        <v>106863498</v>
      </c>
      <c r="AI144" s="136">
        <f t="shared" si="188"/>
        <v>0</v>
      </c>
      <c r="AJ144" s="136">
        <f t="shared" si="188"/>
        <v>0</v>
      </c>
      <c r="AK144" s="136">
        <f t="shared" si="188"/>
        <v>0</v>
      </c>
      <c r="AL144" s="136">
        <f t="shared" si="188"/>
        <v>300000</v>
      </c>
      <c r="AM144" s="136">
        <f t="shared" si="188"/>
        <v>164856575</v>
      </c>
      <c r="AN144" s="136">
        <f t="shared" si="188"/>
        <v>1974981668</v>
      </c>
      <c r="AO144" s="136">
        <f t="shared" si="188"/>
        <v>885432962</v>
      </c>
      <c r="AP144" s="136">
        <f t="shared" si="188"/>
        <v>453711667</v>
      </c>
      <c r="AQ144" s="136">
        <f t="shared" si="188"/>
        <v>910591170</v>
      </c>
      <c r="AR144" s="136">
        <f t="shared" si="188"/>
        <v>0</v>
      </c>
      <c r="AS144" s="136">
        <f t="shared" si="188"/>
        <v>51295383</v>
      </c>
      <c r="AT144" s="136">
        <f t="shared" si="188"/>
        <v>2399143215</v>
      </c>
      <c r="AU144" s="136">
        <f t="shared" si="188"/>
        <v>114321836</v>
      </c>
      <c r="AV144" s="136">
        <f t="shared" si="188"/>
        <v>953043905</v>
      </c>
      <c r="AW144" s="108">
        <f t="shared" si="178"/>
        <v>0.25405580038028475</v>
      </c>
      <c r="AX144" s="137">
        <f t="shared" ref="AX144:BQ144" si="189">SUM(AX137:AX143)</f>
        <v>5592506999</v>
      </c>
      <c r="AY144" s="137">
        <f t="shared" si="189"/>
        <v>0</v>
      </c>
      <c r="AZ144" s="137">
        <f t="shared" si="189"/>
        <v>3430589595</v>
      </c>
      <c r="BA144" s="137">
        <f t="shared" si="189"/>
        <v>23193917</v>
      </c>
      <c r="BB144" s="137">
        <f t="shared" si="189"/>
        <v>282022195</v>
      </c>
      <c r="BC144" s="137">
        <f t="shared" si="189"/>
        <v>31509488</v>
      </c>
      <c r="BD144" s="137">
        <f t="shared" si="189"/>
        <v>54387</v>
      </c>
      <c r="BE144" s="137">
        <f t="shared" si="189"/>
        <v>30665828</v>
      </c>
      <c r="BF144" s="137">
        <f t="shared" si="189"/>
        <v>1940856</v>
      </c>
      <c r="BG144" s="137">
        <f t="shared" si="189"/>
        <v>3138802</v>
      </c>
      <c r="BH144" s="137">
        <f t="shared" si="189"/>
        <v>181084882</v>
      </c>
      <c r="BI144" s="137">
        <f t="shared" si="189"/>
        <v>119601181</v>
      </c>
      <c r="BJ144" s="137">
        <f t="shared" si="189"/>
        <v>256596661</v>
      </c>
      <c r="BK144" s="137">
        <f t="shared" si="189"/>
        <v>33084973</v>
      </c>
      <c r="BL144" s="137">
        <f t="shared" si="189"/>
        <v>150242598</v>
      </c>
      <c r="BM144" s="137">
        <f t="shared" si="189"/>
        <v>0</v>
      </c>
      <c r="BN144" s="137">
        <f t="shared" si="189"/>
        <v>0</v>
      </c>
      <c r="BO144" s="137">
        <f t="shared" si="189"/>
        <v>300856785</v>
      </c>
      <c r="BP144" s="137">
        <f t="shared" si="189"/>
        <v>90420000</v>
      </c>
      <c r="BQ144" s="137">
        <f t="shared" si="189"/>
        <v>657504851</v>
      </c>
      <c r="BR144" s="128">
        <f t="shared" si="180"/>
        <v>0.54136176239206446</v>
      </c>
      <c r="BS144" s="28">
        <f t="shared" ref="BS144:CM144" si="190">SUM(BS137:BS143)</f>
        <v>11916946752</v>
      </c>
      <c r="BT144" s="28">
        <f t="shared" si="190"/>
        <v>0</v>
      </c>
      <c r="BU144" s="28">
        <f t="shared" si="190"/>
        <v>0</v>
      </c>
      <c r="BV144" s="28">
        <f t="shared" si="190"/>
        <v>5218647323</v>
      </c>
      <c r="BW144" s="28">
        <f t="shared" si="190"/>
        <v>147809402</v>
      </c>
      <c r="BX144" s="28">
        <f t="shared" si="190"/>
        <v>1396708789</v>
      </c>
      <c r="BY144" s="28">
        <f t="shared" si="190"/>
        <v>106769230</v>
      </c>
      <c r="BZ144" s="28">
        <f t="shared" si="190"/>
        <v>0</v>
      </c>
      <c r="CA144" s="28">
        <f t="shared" si="190"/>
        <v>0</v>
      </c>
      <c r="CB144" s="28">
        <f t="shared" si="190"/>
        <v>0</v>
      </c>
      <c r="CC144" s="28">
        <f t="shared" si="190"/>
        <v>300000</v>
      </c>
      <c r="CD144" s="28">
        <f t="shared" si="190"/>
        <v>130112725</v>
      </c>
      <c r="CE144" s="28">
        <f t="shared" si="190"/>
        <v>1388135369</v>
      </c>
      <c r="CF144" s="28">
        <f t="shared" si="190"/>
        <v>867625319</v>
      </c>
      <c r="CG144" s="28">
        <f t="shared" si="190"/>
        <v>453711667</v>
      </c>
      <c r="CH144" s="28">
        <f t="shared" si="190"/>
        <v>845852866</v>
      </c>
      <c r="CI144" s="28">
        <f t="shared" si="190"/>
        <v>0</v>
      </c>
      <c r="CJ144" s="28">
        <f t="shared" si="190"/>
        <v>5867630</v>
      </c>
      <c r="CK144" s="28">
        <f t="shared" si="190"/>
        <v>429051059</v>
      </c>
      <c r="CL144" s="28">
        <f t="shared" si="190"/>
        <v>23350298</v>
      </c>
      <c r="CM144" s="28">
        <f t="shared" si="190"/>
        <v>903005075</v>
      </c>
      <c r="CN144" s="25">
        <f t="shared" si="182"/>
        <v>0.45863823760793554</v>
      </c>
      <c r="CO144" s="136">
        <f t="shared" ref="CO144:DH144" ca="1" si="191">SUM(CO137:CO143)</f>
        <v>10095961399</v>
      </c>
      <c r="CP144" s="136">
        <f t="shared" ca="1" si="191"/>
        <v>0</v>
      </c>
      <c r="CQ144" s="136">
        <f t="shared" si="191"/>
        <v>4852277680</v>
      </c>
      <c r="CR144" s="136">
        <f t="shared" si="191"/>
        <v>23193925</v>
      </c>
      <c r="CS144" s="136">
        <f t="shared" si="191"/>
        <v>503027861</v>
      </c>
      <c r="CT144" s="136">
        <f t="shared" si="191"/>
        <v>31603756</v>
      </c>
      <c r="CU144" s="136">
        <f t="shared" si="191"/>
        <v>54387</v>
      </c>
      <c r="CV144" s="136">
        <f t="shared" si="191"/>
        <v>30665828</v>
      </c>
      <c r="CW144" s="136">
        <f t="shared" si="191"/>
        <v>1940856</v>
      </c>
      <c r="CX144" s="136">
        <f t="shared" si="191"/>
        <v>3138802</v>
      </c>
      <c r="CY144" s="136">
        <f t="shared" si="191"/>
        <v>215828732</v>
      </c>
      <c r="CZ144" s="136">
        <f t="shared" si="191"/>
        <v>706447480</v>
      </c>
      <c r="DA144" s="136">
        <f t="shared" si="191"/>
        <v>274404304</v>
      </c>
      <c r="DB144" s="136">
        <f t="shared" si="191"/>
        <v>33084973</v>
      </c>
      <c r="DC144" s="136">
        <f t="shared" si="191"/>
        <v>214980902</v>
      </c>
      <c r="DD144" s="136">
        <f t="shared" si="191"/>
        <v>0</v>
      </c>
      <c r="DE144" s="136">
        <f t="shared" si="191"/>
        <v>45427753</v>
      </c>
      <c r="DF144" s="136">
        <f t="shared" si="191"/>
        <v>2270948941</v>
      </c>
      <c r="DG144" s="136">
        <f t="shared" si="191"/>
        <v>181391538</v>
      </c>
      <c r="DH144" s="136">
        <f t="shared" si="191"/>
        <v>707543681</v>
      </c>
      <c r="DJ144" s="77" t="s">
        <v>377</v>
      </c>
      <c r="DK144" s="77"/>
      <c r="DL144" s="196">
        <f t="shared" si="184"/>
        <v>1025280977</v>
      </c>
      <c r="DM144" s="196">
        <f t="shared" si="185"/>
        <v>856988962</v>
      </c>
      <c r="DN144" s="198">
        <f t="shared" si="186"/>
        <v>0.83585766363048397</v>
      </c>
    </row>
    <row r="145" spans="3:118" x14ac:dyDescent="0.25">
      <c r="C145" s="132"/>
      <c r="D145" s="121" t="s">
        <v>263</v>
      </c>
      <c r="E145" s="138">
        <v>301</v>
      </c>
      <c r="F145" s="122"/>
      <c r="G145" s="123">
        <f>SUMIF($E$4:$E$132,"301",$G$4:$G$132)</f>
        <v>2949123548</v>
      </c>
      <c r="H145" s="124">
        <f>SUMIF($E$4:$E$132,"301",$H$4:$H$132)</f>
        <v>200000000</v>
      </c>
      <c r="I145" s="124">
        <f>SUMIF($E$4:$E$132,"301",$I$4:$I$132)</f>
        <v>453168096</v>
      </c>
      <c r="J145" s="123">
        <f>SUMIF($E$4:$E$132,"301",$J$4:$J$132)</f>
        <v>0</v>
      </c>
      <c r="K145" s="122">
        <f>SUMIF($E$4:$E$132,"301",$K$4:$K$132)</f>
        <v>701280247</v>
      </c>
      <c r="L145" s="122">
        <f>SUMIF($E$4:$E$132,"301",$L$4:$L$132)</f>
        <v>0</v>
      </c>
      <c r="M145" s="122">
        <f>SUMIF($E$4:$E$132,"301",$M$4:$M$132)</f>
        <v>0</v>
      </c>
      <c r="N145" s="122">
        <f>SUMIF($E$4:$E$132,"301",$N$4:$N$132)</f>
        <v>0</v>
      </c>
      <c r="O145" s="122">
        <f>SUMIF($E$4:$E$132,"301",$O$4:$O$132)</f>
        <v>0</v>
      </c>
      <c r="P145" s="122">
        <f>SUMIF($E$4:$E$132,"301",$P$4:$P$132)</f>
        <v>0</v>
      </c>
      <c r="Q145" s="122">
        <f>SUMIF($E$4:$E$132,"301",$Q$4:$Q$132)</f>
        <v>0</v>
      </c>
      <c r="R145" s="122">
        <f>SUMIF($E$4:$E$132,"301",$R$4:$R$132)</f>
        <v>0</v>
      </c>
      <c r="S145" s="122">
        <f>SUMIF($E$4:$E$132,"301",$S$4:$S$132)</f>
        <v>0</v>
      </c>
      <c r="T145" s="122">
        <f>SUMIF($E$4:$E$132,"301",$T$4:$T$132)</f>
        <v>0</v>
      </c>
      <c r="U145" s="122">
        <f>SUMIF($E$4:$E$132,"301",$U$4:$U$132)</f>
        <v>245242997</v>
      </c>
      <c r="V145" s="122">
        <f>SUMIF($E$4:$E$124,"301",$V$4:$V$124)</f>
        <v>1262551657</v>
      </c>
      <c r="W145" s="122"/>
      <c r="X145" s="122">
        <f>SUMIF($E$4:$E$124,"301",$X$4:$X$124)</f>
        <v>0</v>
      </c>
      <c r="Y145" s="122">
        <f>SUMIF($E$4:$E$132,"301",$Y$4:$Y$132)</f>
        <v>0</v>
      </c>
      <c r="Z145" s="122">
        <f>SUMIF($E$4:$E$132,"301",$Z$4:$Z$132)</f>
        <v>86880551</v>
      </c>
      <c r="AA145" s="125">
        <f t="shared" si="176"/>
        <v>0.85205638017576879</v>
      </c>
      <c r="AB145" s="28">
        <f>SUM(AD145:AV145)</f>
        <v>2512819535</v>
      </c>
      <c r="AC145" s="123">
        <f>SUMIF($E$4:$E$132,"301",$AC$4:$AC$132)</f>
        <v>0</v>
      </c>
      <c r="AD145" s="123">
        <f>SUMIF($E$4:$E$132,"301",$AD$4:$AD$132)</f>
        <v>198408143</v>
      </c>
      <c r="AE145" s="123">
        <f>SUMIF($E$4:$E$132,"301",$AE$4:$AE$132)</f>
        <v>271768096</v>
      </c>
      <c r="AF145" s="123">
        <f>SUMIF($E$4:$E$132,"301",$AF$4:$AF$132)</f>
        <v>0</v>
      </c>
      <c r="AG145" s="123">
        <f>SUMIF($E$4:$E$132,"301",$AG$4:$AG$132)</f>
        <v>701280247</v>
      </c>
      <c r="AH145" s="123">
        <f>SUMIF($E$4:$E$132,"301",$AH$4:$AH$132)</f>
        <v>0</v>
      </c>
      <c r="AI145" s="123">
        <f>SUMIF($E$4:$E$132,"301",$AI$4:$AI$132)</f>
        <v>0</v>
      </c>
      <c r="AJ145" s="123">
        <f>SUMIF($E$4:$E$132,"301",$AJ$4:$AJ$132)</f>
        <v>0</v>
      </c>
      <c r="AK145" s="123">
        <f>SUMIF($E$4:$E$132,"301",$AK$4:$AK$132)</f>
        <v>0</v>
      </c>
      <c r="AL145" s="123">
        <f>SUMIF($E$4:$E$132,"301",$AL$4:$AL$132)</f>
        <v>0</v>
      </c>
      <c r="AM145" s="123">
        <f>SUMIF($E$4:$E$132,"301",$AM$4:$AM$132)</f>
        <v>0</v>
      </c>
      <c r="AN145" s="123">
        <f>SUMIF($E$4:$E$132,"301",$AN$4:$AN$132)</f>
        <v>0</v>
      </c>
      <c r="AO145" s="123">
        <f>SUMIF($E$4:$E$132,"301",$AO$4:$AO$132)</f>
        <v>0</v>
      </c>
      <c r="AP145" s="123">
        <f>SUMIF($E$4:$E$132,"301",$AP$4:$AP$132)</f>
        <v>0</v>
      </c>
      <c r="AQ145" s="123">
        <f>SUMIF($E$4:$E$132,"301",$AQ$4:$AQ$132)</f>
        <v>150327287</v>
      </c>
      <c r="AR145" s="123">
        <f>SUMIF($E$4:$E$132,"301",$AR$4:$AR$132)</f>
        <v>1158469451</v>
      </c>
      <c r="AS145" s="123">
        <f>SUMIF($E$4:$E$132,"301",$AS$4:$AS$132)</f>
        <v>0</v>
      </c>
      <c r="AT145" s="123">
        <f>SUMIF($E$4:$E$132,"301",$AT$4:$AT$132)</f>
        <v>0</v>
      </c>
      <c r="AU145" s="123">
        <f>SUMIF($E$4:$E$132,"301",$AU$4:$AU$132)</f>
        <v>0</v>
      </c>
      <c r="AV145" s="123">
        <f>SUMIF($E$4:$E$132,"301",$AV$4:$AV$132)</f>
        <v>32566311</v>
      </c>
      <c r="AW145" s="108">
        <f t="shared" si="178"/>
        <v>0.14794361982423121</v>
      </c>
      <c r="AX145" s="28">
        <f>SUM(AY145:BQ145)</f>
        <v>436304013</v>
      </c>
      <c r="AY145" s="126">
        <f>SUMIF($E$4:$E$132,"301",$AY$4:$AY$132)</f>
        <v>1591857</v>
      </c>
      <c r="AZ145" s="126">
        <f>SUMIF($E$4:$E$132,"301",$AZ$4:$AZ$132)</f>
        <v>181400000</v>
      </c>
      <c r="BA145" s="126">
        <f>SUMIF($E$4:$E$132,"301",$BA$4:$BA$132)</f>
        <v>0</v>
      </c>
      <c r="BB145" s="126">
        <f>SUMIF($E$4:$E$132,"301",$BB$4:$BB$132)</f>
        <v>0</v>
      </c>
      <c r="BC145" s="126">
        <f>SUMIF($E$4:$E$132,"301",$BC$4:$BC$132)</f>
        <v>0</v>
      </c>
      <c r="BD145" s="126">
        <f>SUMIF($E$4:$E$132,"301",$BD$4:$BD$132)</f>
        <v>0</v>
      </c>
      <c r="BE145" s="126">
        <f>SUMIF($E$4:$E$132,"301",$BE$4:$BE$132)</f>
        <v>0</v>
      </c>
      <c r="BF145" s="126">
        <f>SUMIF($E$4:$E$132,"301",$BF$4:$BF$132)</f>
        <v>0</v>
      </c>
      <c r="BG145" s="126">
        <f>SUMIF($E$4:$E$132,"301",$BG$4:$BG$132)</f>
        <v>0</v>
      </c>
      <c r="BH145" s="126">
        <f>SUMIF($E$4:$E$132,"301",$BH$4:$BH$132)</f>
        <v>0</v>
      </c>
      <c r="BI145" s="126">
        <f>SUMIF($E$4:$E$132,"301",$BI$4:$BI$132)</f>
        <v>0</v>
      </c>
      <c r="BJ145" s="126">
        <f>SUMIF($E$4:$E$132,"301",$BJ$4:$BJ$132)</f>
        <v>0</v>
      </c>
      <c r="BK145" s="126">
        <f>SUMIF($E$4:$E$132,"301",$BK$4:$BK$132)</f>
        <v>0</v>
      </c>
      <c r="BL145" s="126">
        <f>SUMIF($E$4:$E$132,"301",$BL$4:$BL$132)</f>
        <v>94915710</v>
      </c>
      <c r="BM145" s="126">
        <f>SUMIF($E$4:$E$132,"301",$BM$4:$BM$132)</f>
        <v>104082206</v>
      </c>
      <c r="BN145" s="126"/>
      <c r="BO145" s="126">
        <f>SUMIF($E$4:$E$132,"301",$BO$4:$BO$132)</f>
        <v>0</v>
      </c>
      <c r="BP145" s="126"/>
      <c r="BQ145" s="127">
        <f>SUMIF($E$4:$E$132,"301",$BQ$4:$BQ$132)</f>
        <v>54314240</v>
      </c>
      <c r="BR145" s="128">
        <f t="shared" si="180"/>
        <v>0.79096945924220063</v>
      </c>
      <c r="BS145" s="28">
        <f>SUM(BU145:CM145)</f>
        <v>2332666658</v>
      </c>
      <c r="BT145" s="123">
        <f>SUMIF($E$4:$E$132,"111",$BT$4:$BT$132)</f>
        <v>0</v>
      </c>
      <c r="BU145" s="123">
        <f>SUMIF($E$4:$E$132,"301",$BU$4:$BU$132)</f>
        <v>198408143</v>
      </c>
      <c r="BV145" s="123">
        <f>SUMIF($E$4:$E$132,"301",$BV$4:$BV$132)</f>
        <v>268168096</v>
      </c>
      <c r="BW145" s="123">
        <f>SUMIF($E$4:$E$132,"301",$BW$4:$BW$132)</f>
        <v>0</v>
      </c>
      <c r="BX145" s="123">
        <f>SUMIF($E$4:$E$132,"301",$BX$4:$BX$132)</f>
        <v>701280247</v>
      </c>
      <c r="BY145" s="123">
        <f>SUMIF($E$4:$E$132,"301",$BY$4:$BY$132)</f>
        <v>0</v>
      </c>
      <c r="BZ145" s="123">
        <f>SUMIF($E$4:$E$132,"301",$BZ$4:$BZ$132)</f>
        <v>0</v>
      </c>
      <c r="CA145" s="123">
        <f>SUMIF($E$4:$E$132,"301",$CA$4:$CA$132)</f>
        <v>0</v>
      </c>
      <c r="CB145" s="123">
        <f>SUMIF($E$4:$E$132,"301",$CB$4:$CB$132)</f>
        <v>0</v>
      </c>
      <c r="CC145" s="123">
        <f>SUMIF($E$4:$E$132,"301",$CC$4:$CC$132)</f>
        <v>0</v>
      </c>
      <c r="CD145" s="123">
        <f>SUMIF($E$4:$E$132,"301",$CD$4:$CD$132)</f>
        <v>0</v>
      </c>
      <c r="CE145" s="123">
        <f>SUMIF($E$4:$E$132,"301",$CE$4:$CE$132)</f>
        <v>0</v>
      </c>
      <c r="CF145" s="123">
        <f>SUMIF($E$4:$E$132,"301",$CF$4:$CF$132)</f>
        <v>0</v>
      </c>
      <c r="CG145" s="123">
        <f>SUMIF($E$4:$E$132,"301",$CG$4:$CG$132)</f>
        <v>0</v>
      </c>
      <c r="CH145" s="123">
        <f>SUMIF($E$4:$E$132,"301",$CH$4:$CH$132)</f>
        <v>89000967</v>
      </c>
      <c r="CI145" s="123">
        <f>SUMIF($E$4:$E$132,"301",$CI$4:$CI$132)</f>
        <v>1044337414</v>
      </c>
      <c r="CJ145" s="123">
        <f>SUMIF($E$4:$E$132,"301",$CJ$4:$CJ$132)</f>
        <v>0</v>
      </c>
      <c r="CK145" s="123">
        <f>SUMIF($E$4:$E$132,"301",$CK$4:$CK$132)</f>
        <v>0</v>
      </c>
      <c r="CL145" s="123">
        <f>SUMIF($E$4:$E$132,"301",$CL$4:$CL$132)</f>
        <v>0</v>
      </c>
      <c r="CM145" s="129">
        <f>SUMIF($E$4:$E$132,"301",$CM$4:$CM$132)</f>
        <v>31471791</v>
      </c>
      <c r="CN145" s="25">
        <f t="shared" si="182"/>
        <v>0.20903054075779937</v>
      </c>
      <c r="CO145" s="28">
        <f>SUM(CP145:DH145)</f>
        <v>616456890</v>
      </c>
      <c r="CP145" s="126">
        <f>SUMIF($E$4:$E$132,"301",$CP$4:$CP$132)</f>
        <v>1591857</v>
      </c>
      <c r="CQ145" s="126">
        <f>SUMIF($E$4:$E$132,"301",$CQ$4:$CQ$132)</f>
        <v>185000000</v>
      </c>
      <c r="CR145" s="126">
        <f>SUMIF($E$4:$E$132,"301",$CR$4:$CR$132)</f>
        <v>0</v>
      </c>
      <c r="CS145" s="126">
        <f>SUMIF($E$4:$E$132,"301",$CS$4:$CS$132)</f>
        <v>0</v>
      </c>
      <c r="CT145" s="126">
        <f>SUMIF($E$4:$E$132,"301",$CT$4:$CT$132)</f>
        <v>0</v>
      </c>
      <c r="CU145" s="126">
        <f>SUMIF($E$4:$E$132,"301",$CU$4:$CU$132)</f>
        <v>0</v>
      </c>
      <c r="CV145" s="130">
        <f>SUMIF($E$4:$E$132,"301",$CV$4:$CV$132)</f>
        <v>0</v>
      </c>
      <c r="CW145" s="130">
        <f>SUMIF($E$4:$E$132,"301",$CW$4:$CW$132)</f>
        <v>0</v>
      </c>
      <c r="CX145" s="130">
        <f>SUMIF($E$4:$E$132,"301",$CX$4:$CX$132)</f>
        <v>0</v>
      </c>
      <c r="CY145" s="130">
        <f>SUMIF($E$4:$E$132,"301",$CY$4:$CY$132)</f>
        <v>0</v>
      </c>
      <c r="CZ145" s="130">
        <f>SUMIF($E$4:$E$132,"301",$CZ$4:$CZ$132)</f>
        <v>0</v>
      </c>
      <c r="DA145" s="130">
        <f>SUMIF($E$4:$E$132,"301",$DA$4:$DA$132)</f>
        <v>0</v>
      </c>
      <c r="DB145" s="130">
        <f>SUMIF($E$4:$E$132,"301",$DB$4:$DB$132)</f>
        <v>0</v>
      </c>
      <c r="DC145" s="130">
        <f>SUMIF($E$4:$E$132,"301",$DC$4:$DC$132)</f>
        <v>156242030</v>
      </c>
      <c r="DD145" s="130">
        <f>SUMIF($E$4:$E$132,"301",$DD$4:$DD$132)</f>
        <v>218214243</v>
      </c>
      <c r="DE145" s="130">
        <f>SUMIF($E$4:$E$132,"301",$DE$4:$DE$132)</f>
        <v>0</v>
      </c>
      <c r="DF145" s="130">
        <f>SUMIF($E$4:$E$132,"301",$DF$4:$DF$132)</f>
        <v>0</v>
      </c>
      <c r="DG145" s="130">
        <f>SUMIF($E$4:$E$132,"301",$DG$4:$DG$132)</f>
        <v>0</v>
      </c>
      <c r="DH145" s="130">
        <f>SUMIF($E$4:$E$132,"301",$DH$4:$DH$132)</f>
        <v>55408760</v>
      </c>
      <c r="DJ145" s="275" t="s">
        <v>413</v>
      </c>
      <c r="DK145" s="275"/>
      <c r="DL145" s="196">
        <f t="shared" si="184"/>
        <v>1760134547</v>
      </c>
      <c r="DM145" s="196">
        <f t="shared" si="185"/>
        <v>1425141522</v>
      </c>
      <c r="DN145" s="198">
        <f t="shared" si="186"/>
        <v>0.80967760358379015</v>
      </c>
    </row>
    <row r="146" spans="3:118" ht="15.75" thickBot="1" x14ac:dyDescent="0.3">
      <c r="C146" s="258" t="s">
        <v>381</v>
      </c>
      <c r="D146" s="259"/>
      <c r="E146" s="139"/>
      <c r="F146" s="140"/>
      <c r="G146" s="141">
        <f t="shared" ref="G146:Z146" si="192">SUM(G144:G145)</f>
        <v>24962031699</v>
      </c>
      <c r="H146" s="141">
        <f t="shared" si="192"/>
        <v>200000000</v>
      </c>
      <c r="I146" s="141">
        <f t="shared" si="192"/>
        <v>10524093099</v>
      </c>
      <c r="J146" s="141">
        <f t="shared" si="192"/>
        <v>171003327</v>
      </c>
      <c r="K146" s="141">
        <f t="shared" si="192"/>
        <v>2601016897</v>
      </c>
      <c r="L146" s="141">
        <f t="shared" si="192"/>
        <v>138372986</v>
      </c>
      <c r="M146" s="141">
        <f t="shared" si="192"/>
        <v>54387</v>
      </c>
      <c r="N146" s="141">
        <f t="shared" si="192"/>
        <v>30665828</v>
      </c>
      <c r="O146" s="141">
        <f t="shared" si="192"/>
        <v>1940856</v>
      </c>
      <c r="P146" s="141">
        <f t="shared" si="192"/>
        <v>3438802</v>
      </c>
      <c r="Q146" s="141">
        <f t="shared" si="192"/>
        <v>345941457</v>
      </c>
      <c r="R146" s="141">
        <f t="shared" si="192"/>
        <v>2094582849</v>
      </c>
      <c r="S146" s="141">
        <f t="shared" si="192"/>
        <v>1142029623</v>
      </c>
      <c r="T146" s="142">
        <f t="shared" si="192"/>
        <v>486796640</v>
      </c>
      <c r="U146" s="141">
        <f t="shared" si="192"/>
        <v>1306076765</v>
      </c>
      <c r="V146" s="141">
        <f t="shared" si="192"/>
        <v>1262551657</v>
      </c>
      <c r="W146" s="141">
        <f t="shared" si="192"/>
        <v>51295383</v>
      </c>
      <c r="X146" s="141">
        <f t="shared" si="192"/>
        <v>2700000000</v>
      </c>
      <c r="Y146" s="141">
        <f t="shared" si="192"/>
        <v>204741836</v>
      </c>
      <c r="Z146" s="141">
        <f t="shared" si="192"/>
        <v>1697429307</v>
      </c>
      <c r="AA146" s="143">
        <f t="shared" si="176"/>
        <v>0.75848075650663005</v>
      </c>
      <c r="AB146" s="144">
        <f t="shared" ref="AB146:AV146" si="193">AB144+AB145</f>
        <v>18933220687</v>
      </c>
      <c r="AC146" s="144">
        <f t="shared" si="193"/>
        <v>0</v>
      </c>
      <c r="AD146" s="144">
        <f t="shared" si="193"/>
        <v>198408143</v>
      </c>
      <c r="AE146" s="144">
        <f t="shared" si="193"/>
        <v>6912103504</v>
      </c>
      <c r="AF146" s="144">
        <f t="shared" si="193"/>
        <v>147809410</v>
      </c>
      <c r="AG146" s="144">
        <f t="shared" si="193"/>
        <v>2318994702</v>
      </c>
      <c r="AH146" s="144">
        <f t="shared" si="193"/>
        <v>106863498</v>
      </c>
      <c r="AI146" s="144">
        <f t="shared" si="193"/>
        <v>0</v>
      </c>
      <c r="AJ146" s="144">
        <f t="shared" si="193"/>
        <v>0</v>
      </c>
      <c r="AK146" s="144">
        <f t="shared" si="193"/>
        <v>0</v>
      </c>
      <c r="AL146" s="144">
        <f t="shared" si="193"/>
        <v>300000</v>
      </c>
      <c r="AM146" s="144">
        <f t="shared" si="193"/>
        <v>164856575</v>
      </c>
      <c r="AN146" s="144">
        <f t="shared" si="193"/>
        <v>1974981668</v>
      </c>
      <c r="AO146" s="144">
        <f t="shared" si="193"/>
        <v>885432962</v>
      </c>
      <c r="AP146" s="144">
        <f t="shared" si="193"/>
        <v>453711667</v>
      </c>
      <c r="AQ146" s="144">
        <f t="shared" si="193"/>
        <v>1060918457</v>
      </c>
      <c r="AR146" s="144">
        <f t="shared" si="193"/>
        <v>1158469451</v>
      </c>
      <c r="AS146" s="144">
        <f t="shared" si="193"/>
        <v>51295383</v>
      </c>
      <c r="AT146" s="144">
        <f t="shared" si="193"/>
        <v>2399143215</v>
      </c>
      <c r="AU146" s="144">
        <f t="shared" si="193"/>
        <v>114321836</v>
      </c>
      <c r="AV146" s="144">
        <f t="shared" si="193"/>
        <v>985610216</v>
      </c>
      <c r="AW146" s="169">
        <f t="shared" si="178"/>
        <v>0.24151924349336995</v>
      </c>
      <c r="AX146" s="144">
        <f>AX144+AX145</f>
        <v>6028811012</v>
      </c>
      <c r="AY146" s="144">
        <f>AY144+AY145</f>
        <v>1591857</v>
      </c>
      <c r="AZ146" s="145">
        <f t="shared" ref="AZ146:BQ146" si="194">+AZ144+AZ145</f>
        <v>3611989595</v>
      </c>
      <c r="BA146" s="145">
        <f t="shared" si="194"/>
        <v>23193917</v>
      </c>
      <c r="BB146" s="145">
        <f t="shared" si="194"/>
        <v>282022195</v>
      </c>
      <c r="BC146" s="145">
        <f t="shared" si="194"/>
        <v>31509488</v>
      </c>
      <c r="BD146" s="145">
        <f t="shared" si="194"/>
        <v>54387</v>
      </c>
      <c r="BE146" s="145">
        <f t="shared" si="194"/>
        <v>30665828</v>
      </c>
      <c r="BF146" s="145">
        <f t="shared" si="194"/>
        <v>1940856</v>
      </c>
      <c r="BG146" s="145">
        <f t="shared" si="194"/>
        <v>3138802</v>
      </c>
      <c r="BH146" s="145">
        <f t="shared" si="194"/>
        <v>181084882</v>
      </c>
      <c r="BI146" s="145">
        <f t="shared" si="194"/>
        <v>119601181</v>
      </c>
      <c r="BJ146" s="145">
        <f t="shared" si="194"/>
        <v>256596661</v>
      </c>
      <c r="BK146" s="145">
        <f t="shared" si="194"/>
        <v>33084973</v>
      </c>
      <c r="BL146" s="145">
        <f t="shared" si="194"/>
        <v>245158308</v>
      </c>
      <c r="BM146" s="145">
        <f t="shared" si="194"/>
        <v>104082206</v>
      </c>
      <c r="BN146" s="145">
        <f t="shared" si="194"/>
        <v>0</v>
      </c>
      <c r="BO146" s="145">
        <f t="shared" si="194"/>
        <v>300856785</v>
      </c>
      <c r="BP146" s="145">
        <f t="shared" si="194"/>
        <v>90420000</v>
      </c>
      <c r="BQ146" s="145">
        <f t="shared" si="194"/>
        <v>711819091</v>
      </c>
      <c r="BR146" s="146">
        <f t="shared" si="180"/>
        <v>0.57085150687357122</v>
      </c>
      <c r="BS146" s="147">
        <f>+BS144+BS145</f>
        <v>14249613410</v>
      </c>
      <c r="BT146" s="145">
        <f>+BT144+BT145</f>
        <v>0</v>
      </c>
      <c r="BU146" s="145">
        <f>+BU144+BU145</f>
        <v>198408143</v>
      </c>
      <c r="BV146" s="145">
        <f>+BV144+BV145</f>
        <v>5486815419</v>
      </c>
      <c r="BW146" s="145">
        <f>+BW144+BW145</f>
        <v>147809402</v>
      </c>
      <c r="BX146" s="141">
        <f t="shared" ref="BX146:CM146" si="195">SUM(BX144:BX145)</f>
        <v>2097989036</v>
      </c>
      <c r="BY146" s="141">
        <f t="shared" si="195"/>
        <v>106769230</v>
      </c>
      <c r="BZ146" s="141">
        <f t="shared" si="195"/>
        <v>0</v>
      </c>
      <c r="CA146" s="141">
        <f t="shared" si="195"/>
        <v>0</v>
      </c>
      <c r="CB146" s="141">
        <f t="shared" si="195"/>
        <v>0</v>
      </c>
      <c r="CC146" s="141">
        <f t="shared" si="195"/>
        <v>300000</v>
      </c>
      <c r="CD146" s="141">
        <f t="shared" si="195"/>
        <v>130112725</v>
      </c>
      <c r="CE146" s="141">
        <f t="shared" si="195"/>
        <v>1388135369</v>
      </c>
      <c r="CF146" s="141">
        <f t="shared" si="195"/>
        <v>867625319</v>
      </c>
      <c r="CG146" s="141">
        <f t="shared" si="195"/>
        <v>453711667</v>
      </c>
      <c r="CH146" s="141">
        <f t="shared" si="195"/>
        <v>934853833</v>
      </c>
      <c r="CI146" s="141">
        <f t="shared" si="195"/>
        <v>1044337414</v>
      </c>
      <c r="CJ146" s="141">
        <f t="shared" si="195"/>
        <v>5867630</v>
      </c>
      <c r="CK146" s="141">
        <f t="shared" si="195"/>
        <v>429051059</v>
      </c>
      <c r="CL146" s="141">
        <f t="shared" si="195"/>
        <v>23350298</v>
      </c>
      <c r="CM146" s="148">
        <f t="shared" si="195"/>
        <v>934476866</v>
      </c>
      <c r="CN146" s="149">
        <f t="shared" si="182"/>
        <v>0.42914849312642878</v>
      </c>
      <c r="CO146" s="141">
        <f t="shared" ref="CO146:DH146" ca="1" si="196">SUM(CO144:CO145)</f>
        <v>10712418289</v>
      </c>
      <c r="CP146" s="148">
        <f t="shared" ca="1" si="196"/>
        <v>1591857</v>
      </c>
      <c r="CQ146" s="148">
        <f t="shared" si="196"/>
        <v>5037277680</v>
      </c>
      <c r="CR146" s="148">
        <f t="shared" si="196"/>
        <v>23193925</v>
      </c>
      <c r="CS146" s="141">
        <f t="shared" si="196"/>
        <v>503027861</v>
      </c>
      <c r="CT146" s="141">
        <f t="shared" si="196"/>
        <v>31603756</v>
      </c>
      <c r="CU146" s="141">
        <f t="shared" si="196"/>
        <v>54387</v>
      </c>
      <c r="CV146" s="150">
        <f t="shared" si="196"/>
        <v>30665828</v>
      </c>
      <c r="CW146" s="150">
        <f t="shared" si="196"/>
        <v>1940856</v>
      </c>
      <c r="CX146" s="150">
        <f t="shared" si="196"/>
        <v>3138802</v>
      </c>
      <c r="CY146" s="150">
        <f t="shared" si="196"/>
        <v>215828732</v>
      </c>
      <c r="CZ146" s="150">
        <f t="shared" si="196"/>
        <v>706447480</v>
      </c>
      <c r="DA146" s="150">
        <f t="shared" si="196"/>
        <v>274404304</v>
      </c>
      <c r="DB146" s="150">
        <f t="shared" si="196"/>
        <v>33084973</v>
      </c>
      <c r="DC146" s="150">
        <f t="shared" si="196"/>
        <v>371222932</v>
      </c>
      <c r="DD146" s="150">
        <f t="shared" si="196"/>
        <v>218214243</v>
      </c>
      <c r="DE146" s="150">
        <f t="shared" si="196"/>
        <v>45427753</v>
      </c>
      <c r="DF146" s="150">
        <f t="shared" si="196"/>
        <v>2270948941</v>
      </c>
      <c r="DG146" s="150">
        <f t="shared" si="196"/>
        <v>181391538</v>
      </c>
      <c r="DH146" s="150">
        <f t="shared" si="196"/>
        <v>762952441</v>
      </c>
      <c r="DJ146" s="77" t="s">
        <v>414</v>
      </c>
      <c r="DK146" s="77"/>
      <c r="DL146" s="196">
        <f t="shared" si="184"/>
        <v>3185000000</v>
      </c>
      <c r="DM146" s="196">
        <f t="shared" si="185"/>
        <v>880966086</v>
      </c>
      <c r="DN146" s="198">
        <f t="shared" si="186"/>
        <v>0.27659845714285713</v>
      </c>
    </row>
    <row r="147" spans="3:118" ht="15.75" thickTop="1" x14ac:dyDescent="0.25">
      <c r="D147" s="151"/>
      <c r="E147" s="152"/>
      <c r="F147" s="151"/>
      <c r="G147" s="154"/>
      <c r="DJ147" s="77" t="s">
        <v>415</v>
      </c>
      <c r="DK147" s="77"/>
      <c r="DL147" s="196">
        <f>+G145</f>
        <v>2949123548</v>
      </c>
      <c r="DM147" s="196">
        <f>+BS145</f>
        <v>2332666658</v>
      </c>
      <c r="DN147" s="190">
        <f>+BR145</f>
        <v>0.79096945924220063</v>
      </c>
    </row>
    <row r="148" spans="3:118" x14ac:dyDescent="0.25">
      <c r="D148" s="151"/>
      <c r="E148" s="152"/>
      <c r="F148" s="151"/>
      <c r="G148" s="154"/>
    </row>
    <row r="149" spans="3:118" x14ac:dyDescent="0.25">
      <c r="DJ149" s="199" t="s">
        <v>15</v>
      </c>
      <c r="DK149" s="195"/>
      <c r="DL149" s="200">
        <f>SUM(DL140:DL147)</f>
        <v>24962031699</v>
      </c>
      <c r="DM149" s="52">
        <f>SUM(DM140:DM147)</f>
        <v>14249613410</v>
      </c>
      <c r="DN149" s="190">
        <f>+BR146</f>
        <v>0.57085150687357122</v>
      </c>
    </row>
    <row r="150" spans="3:118" x14ac:dyDescent="0.25">
      <c r="D150" s="290" t="s">
        <v>400</v>
      </c>
      <c r="E150" s="291"/>
      <c r="F150" s="291"/>
      <c r="G150" s="291"/>
      <c r="H150" s="291"/>
      <c r="I150" s="291"/>
      <c r="J150" s="291"/>
      <c r="K150" s="291"/>
      <c r="L150" s="291"/>
      <c r="M150" s="291"/>
      <c r="N150" s="291"/>
      <c r="O150" s="291"/>
      <c r="P150" s="291"/>
      <c r="Q150" s="291"/>
      <c r="R150" s="291"/>
      <c r="S150" s="291"/>
      <c r="T150" s="291"/>
      <c r="U150" s="291"/>
      <c r="V150" s="291"/>
      <c r="W150" s="291"/>
      <c r="X150" s="291"/>
      <c r="Y150" s="291"/>
      <c r="Z150" s="291"/>
      <c r="AA150" s="291"/>
      <c r="AB150" s="291"/>
      <c r="AC150" s="291"/>
      <c r="AD150" s="291"/>
      <c r="AE150" s="291"/>
      <c r="AF150" s="291"/>
      <c r="AG150" s="291"/>
      <c r="AH150" s="291"/>
      <c r="AI150" s="291"/>
      <c r="AJ150" s="291"/>
      <c r="AK150" s="291"/>
      <c r="AL150" s="291"/>
      <c r="AM150" s="291"/>
      <c r="AN150" s="291"/>
      <c r="AO150" s="291"/>
      <c r="AP150" s="291"/>
      <c r="AQ150" s="291"/>
      <c r="AR150" s="291"/>
      <c r="AS150" s="291"/>
      <c r="AT150" s="291"/>
      <c r="AU150" s="291"/>
      <c r="AV150" s="291"/>
      <c r="AW150" s="292"/>
      <c r="AX150" s="186"/>
      <c r="AY150" s="186"/>
      <c r="BS150" s="52"/>
    </row>
    <row r="151" spans="3:118" ht="36.75" x14ac:dyDescent="0.25">
      <c r="D151" s="170" t="s">
        <v>5</v>
      </c>
      <c r="E151" s="171"/>
      <c r="F151" s="172"/>
      <c r="G151" s="173" t="s">
        <v>399</v>
      </c>
      <c r="H151" s="174"/>
      <c r="I151" s="174"/>
      <c r="J151" s="174"/>
      <c r="K151" s="174"/>
      <c r="L151" s="174"/>
      <c r="M151" s="174"/>
      <c r="N151" s="174"/>
      <c r="O151" s="174"/>
      <c r="P151" s="174"/>
      <c r="Q151" s="174"/>
      <c r="R151" s="174"/>
      <c r="S151" s="174"/>
      <c r="T151" s="174"/>
      <c r="U151" s="174"/>
      <c r="V151" s="174"/>
      <c r="W151" s="174"/>
      <c r="X151" s="174"/>
      <c r="Y151" s="174"/>
      <c r="Z151" s="174"/>
      <c r="AA151" s="173" t="s">
        <v>393</v>
      </c>
      <c r="AB151" s="173" t="s">
        <v>401</v>
      </c>
      <c r="AC151" s="173" t="s">
        <v>394</v>
      </c>
      <c r="AD151" s="173" t="s">
        <v>395</v>
      </c>
      <c r="AE151" s="52"/>
      <c r="AF151" s="52"/>
      <c r="AG151" s="52"/>
      <c r="AH151" s="52"/>
      <c r="AI151" s="52"/>
      <c r="AJ151" s="52"/>
      <c r="AK151" s="52"/>
      <c r="AL151" s="52"/>
      <c r="AM151" s="52"/>
      <c r="AN151" s="52"/>
      <c r="AO151" s="52"/>
      <c r="AP151" s="52"/>
      <c r="AQ151" s="52"/>
      <c r="AR151" s="52"/>
      <c r="AS151" s="52"/>
      <c r="AT151" s="52"/>
      <c r="AU151" s="52"/>
      <c r="AV151" s="52"/>
      <c r="AW151" s="187" t="s">
        <v>396</v>
      </c>
      <c r="AX151" s="287"/>
      <c r="AY151" s="287"/>
      <c r="BR151" s="190"/>
    </row>
    <row r="152" spans="3:118" x14ac:dyDescent="0.25">
      <c r="D152" s="279" t="s">
        <v>39</v>
      </c>
      <c r="E152" s="280"/>
      <c r="F152" s="281"/>
      <c r="G152" s="175">
        <v>107968372</v>
      </c>
      <c r="H152" s="135"/>
      <c r="I152" s="135"/>
      <c r="J152" s="135"/>
      <c r="K152" s="135"/>
      <c r="L152" s="135"/>
      <c r="M152" s="135"/>
      <c r="N152" s="135"/>
      <c r="O152" s="135"/>
      <c r="P152" s="135"/>
      <c r="Q152" s="135"/>
      <c r="R152" s="135"/>
      <c r="S152" s="135"/>
      <c r="T152" s="135"/>
      <c r="U152" s="135"/>
      <c r="V152" s="135"/>
      <c r="W152" s="135"/>
      <c r="X152" s="135"/>
      <c r="Y152" s="135"/>
      <c r="Z152" s="135"/>
      <c r="AA152" s="191">
        <v>6.68</v>
      </c>
      <c r="AB152" s="175">
        <v>870645633</v>
      </c>
      <c r="AC152" s="176">
        <v>762677261</v>
      </c>
      <c r="AD152" s="177">
        <v>616176877</v>
      </c>
      <c r="AE152" s="52"/>
      <c r="AF152" s="52"/>
      <c r="AG152" s="52"/>
      <c r="AH152" s="52"/>
      <c r="AI152" s="52"/>
      <c r="AJ152" s="52"/>
      <c r="AK152" s="52"/>
      <c r="AL152" s="52"/>
      <c r="AM152" s="52"/>
      <c r="AN152" s="52"/>
      <c r="AO152" s="52"/>
      <c r="AP152" s="52"/>
      <c r="AQ152" s="52"/>
      <c r="AR152" s="52"/>
      <c r="AS152" s="52"/>
      <c r="AT152" s="52"/>
      <c r="AU152" s="52"/>
      <c r="AV152" s="52"/>
      <c r="AW152" s="188">
        <v>0.59736329100643903</v>
      </c>
      <c r="AX152" s="282"/>
      <c r="AY152" s="283"/>
      <c r="BR152" s="190"/>
    </row>
    <row r="153" spans="3:118" x14ac:dyDescent="0.25">
      <c r="D153" s="279" t="s">
        <v>87</v>
      </c>
      <c r="E153" s="280"/>
      <c r="F153" s="281"/>
      <c r="G153" s="175">
        <v>710164749</v>
      </c>
      <c r="H153" s="135"/>
      <c r="I153" s="135"/>
      <c r="J153" s="135"/>
      <c r="K153" s="135"/>
      <c r="L153" s="135"/>
      <c r="M153" s="135"/>
      <c r="N153" s="135"/>
      <c r="O153" s="135"/>
      <c r="P153" s="135"/>
      <c r="Q153" s="135"/>
      <c r="R153" s="135"/>
      <c r="S153" s="135"/>
      <c r="T153" s="135"/>
      <c r="U153" s="135"/>
      <c r="V153" s="135"/>
      <c r="W153" s="135"/>
      <c r="X153" s="135"/>
      <c r="Y153" s="135"/>
      <c r="Z153" s="135"/>
      <c r="AA153" s="191">
        <v>4.33</v>
      </c>
      <c r="AB153" s="175">
        <v>3782443603</v>
      </c>
      <c r="AC153" s="176">
        <v>3072278854</v>
      </c>
      <c r="AD153" s="177">
        <v>2231159345</v>
      </c>
      <c r="AE153" s="52"/>
      <c r="AF153" s="52"/>
      <c r="AG153" s="52"/>
      <c r="AH153" s="52"/>
      <c r="AI153" s="52"/>
      <c r="AJ153" s="52"/>
      <c r="AK153" s="52"/>
      <c r="AL153" s="52"/>
      <c r="AM153" s="52"/>
      <c r="AN153" s="52"/>
      <c r="AO153" s="52"/>
      <c r="AP153" s="52"/>
      <c r="AQ153" s="52"/>
      <c r="AR153" s="52"/>
      <c r="AS153" s="52"/>
      <c r="AT153" s="52"/>
      <c r="AU153" s="52"/>
      <c r="AV153" s="52"/>
      <c r="AW153" s="188">
        <v>0.63125973662254498</v>
      </c>
      <c r="AX153" s="282"/>
      <c r="AY153" s="283"/>
      <c r="BR153" s="190"/>
    </row>
    <row r="154" spans="3:118" x14ac:dyDescent="0.25">
      <c r="D154" s="279" t="s">
        <v>183</v>
      </c>
      <c r="E154" s="280"/>
      <c r="F154" s="281"/>
      <c r="G154" s="175">
        <v>184919501</v>
      </c>
      <c r="H154" s="135"/>
      <c r="I154" s="135"/>
      <c r="J154" s="135"/>
      <c r="K154" s="135"/>
      <c r="L154" s="135"/>
      <c r="M154" s="135"/>
      <c r="N154" s="135"/>
      <c r="O154" s="135"/>
      <c r="P154" s="135"/>
      <c r="Q154" s="135"/>
      <c r="R154" s="135"/>
      <c r="S154" s="135"/>
      <c r="T154" s="135"/>
      <c r="U154" s="135"/>
      <c r="V154" s="135"/>
      <c r="W154" s="135"/>
      <c r="X154" s="135"/>
      <c r="Y154" s="135"/>
      <c r="Z154" s="135"/>
      <c r="AA154" s="191">
        <v>7.3</v>
      </c>
      <c r="AB154" s="175">
        <v>1425141522</v>
      </c>
      <c r="AC154" s="176">
        <v>1240222021</v>
      </c>
      <c r="AD154" s="177">
        <v>922449293</v>
      </c>
      <c r="AE154" s="52"/>
      <c r="AF154" s="52"/>
      <c r="AG154" s="52"/>
      <c r="AH154" s="52"/>
      <c r="AI154" s="52"/>
      <c r="AJ154" s="52"/>
      <c r="AK154" s="52"/>
      <c r="AL154" s="52"/>
      <c r="AM154" s="52"/>
      <c r="AN154" s="52"/>
      <c r="AO154" s="52"/>
      <c r="AP154" s="52"/>
      <c r="AQ154" s="52"/>
      <c r="AR154" s="52"/>
      <c r="AS154" s="52"/>
      <c r="AT154" s="52"/>
      <c r="AU154" s="52"/>
      <c r="AV154" s="52"/>
      <c r="AW154" s="188">
        <v>0.80967760358379015</v>
      </c>
      <c r="AX154" s="282"/>
      <c r="AY154" s="283"/>
      <c r="BR154" s="190"/>
    </row>
    <row r="155" spans="3:118" x14ac:dyDescent="0.25">
      <c r="D155" s="279" t="s">
        <v>397</v>
      </c>
      <c r="E155" s="280"/>
      <c r="F155" s="281"/>
      <c r="G155" s="175">
        <v>165535702</v>
      </c>
      <c r="H155" s="135"/>
      <c r="I155" s="135"/>
      <c r="J155" s="135"/>
      <c r="K155" s="135"/>
      <c r="L155" s="135"/>
      <c r="M155" s="135"/>
      <c r="N155" s="135"/>
      <c r="O155" s="135"/>
      <c r="P155" s="135"/>
      <c r="Q155" s="135"/>
      <c r="R155" s="135"/>
      <c r="S155" s="135"/>
      <c r="T155" s="135"/>
      <c r="U155" s="135"/>
      <c r="V155" s="135"/>
      <c r="W155" s="135"/>
      <c r="X155" s="135"/>
      <c r="Y155" s="135"/>
      <c r="Z155" s="135"/>
      <c r="AA155" s="191">
        <v>-4.05</v>
      </c>
      <c r="AB155" s="175">
        <v>2332666658</v>
      </c>
      <c r="AC155" s="176">
        <v>2167130956</v>
      </c>
      <c r="AD155" s="177">
        <v>1932480606</v>
      </c>
      <c r="AE155" s="52"/>
      <c r="AF155" s="52"/>
      <c r="AG155" s="52"/>
      <c r="AH155" s="52"/>
      <c r="AI155" s="52"/>
      <c r="AJ155" s="52"/>
      <c r="AK155" s="52"/>
      <c r="AL155" s="52"/>
      <c r="AM155" s="52"/>
      <c r="AN155" s="52"/>
      <c r="AO155" s="52"/>
      <c r="AP155" s="52"/>
      <c r="AQ155" s="52"/>
      <c r="AR155" s="52"/>
      <c r="AS155" s="52"/>
      <c r="AT155" s="52"/>
      <c r="AU155" s="52"/>
      <c r="AV155" s="52"/>
      <c r="AW155" s="188">
        <v>0.79096945924220063</v>
      </c>
      <c r="AX155" s="282"/>
      <c r="AY155" s="283"/>
    </row>
    <row r="156" spans="3:118" x14ac:dyDescent="0.25">
      <c r="D156" s="279" t="s">
        <v>314</v>
      </c>
      <c r="E156" s="280"/>
      <c r="F156" s="281"/>
      <c r="G156" s="178">
        <v>674617041</v>
      </c>
      <c r="H156" s="179"/>
      <c r="I156" s="179"/>
      <c r="J156" s="179"/>
      <c r="K156" s="179"/>
      <c r="L156" s="179"/>
      <c r="M156" s="179"/>
      <c r="N156" s="179"/>
      <c r="O156" s="179"/>
      <c r="P156" s="179"/>
      <c r="Q156" s="179"/>
      <c r="R156" s="179"/>
      <c r="S156" s="179"/>
      <c r="T156" s="179"/>
      <c r="U156" s="179"/>
      <c r="V156" s="179"/>
      <c r="W156" s="179"/>
      <c r="X156" s="179"/>
      <c r="Y156" s="179"/>
      <c r="Z156" s="179"/>
      <c r="AA156" s="191">
        <v>1.7</v>
      </c>
      <c r="AB156" s="178">
        <v>5838715994</v>
      </c>
      <c r="AC156" s="176">
        <v>5164098953</v>
      </c>
      <c r="AD156" s="180">
        <v>3055104832</v>
      </c>
      <c r="AE156" s="52"/>
      <c r="AF156" s="52"/>
      <c r="AG156" s="52"/>
      <c r="AH156" s="52"/>
      <c r="AI156" s="52"/>
      <c r="AJ156" s="52"/>
      <c r="AK156" s="52"/>
      <c r="AL156" s="52"/>
      <c r="AM156" s="52"/>
      <c r="AN156" s="52"/>
      <c r="AO156" s="52"/>
      <c r="AP156" s="52"/>
      <c r="AQ156" s="52"/>
      <c r="AR156" s="52"/>
      <c r="AS156" s="52"/>
      <c r="AT156" s="52"/>
      <c r="AU156" s="52"/>
      <c r="AV156" s="52"/>
      <c r="AW156" s="188">
        <v>0.45602872605295486</v>
      </c>
      <c r="AX156" s="282"/>
      <c r="AY156" s="283"/>
      <c r="BR156" s="190"/>
    </row>
    <row r="157" spans="3:118" ht="15.75" thickBot="1" x14ac:dyDescent="0.3">
      <c r="D157" s="284" t="s">
        <v>398</v>
      </c>
      <c r="E157" s="285"/>
      <c r="F157" s="286"/>
      <c r="G157" s="181">
        <f>SUM(G152:G156)</f>
        <v>1843205365</v>
      </c>
      <c r="H157" s="139"/>
      <c r="I157" s="139"/>
      <c r="J157" s="139"/>
      <c r="K157" s="139"/>
      <c r="L157" s="139"/>
      <c r="M157" s="139"/>
      <c r="N157" s="139"/>
      <c r="O157" s="139"/>
      <c r="P157" s="139"/>
      <c r="Q157" s="139"/>
      <c r="R157" s="139"/>
      <c r="S157" s="139"/>
      <c r="T157" s="139"/>
      <c r="U157" s="139"/>
      <c r="V157" s="139"/>
      <c r="W157" s="139"/>
      <c r="X157" s="139"/>
      <c r="Y157" s="139"/>
      <c r="Z157" s="139"/>
      <c r="AA157" s="182">
        <v>2.4700000000000002</v>
      </c>
      <c r="AB157" s="181">
        <f>SUM(AB152:AB156)</f>
        <v>14249613410</v>
      </c>
      <c r="AC157" s="183">
        <f>AC152+AC153+AC154+AC155+AC156</f>
        <v>12406408045</v>
      </c>
      <c r="AD157" s="184">
        <f>AD152+AD153+AD154+AD155+AD156</f>
        <v>8757370953</v>
      </c>
      <c r="AE157" s="185"/>
      <c r="AF157" s="185"/>
      <c r="AG157" s="185"/>
      <c r="AH157" s="185"/>
      <c r="AI157" s="185"/>
      <c r="AJ157" s="185"/>
      <c r="AK157" s="185"/>
      <c r="AL157" s="185"/>
      <c r="AM157" s="185"/>
      <c r="AN157" s="185"/>
      <c r="AO157" s="185"/>
      <c r="AP157" s="185"/>
      <c r="AQ157" s="185"/>
      <c r="AR157" s="185"/>
      <c r="AS157" s="185"/>
      <c r="AT157" s="185"/>
      <c r="AU157" s="185"/>
      <c r="AV157" s="185"/>
      <c r="AW157" s="189">
        <v>0.57085150687357122</v>
      </c>
      <c r="AX157" s="282"/>
      <c r="AY157" s="283"/>
    </row>
    <row r="158" spans="3:118" ht="15.75" thickTop="1" x14ac:dyDescent="0.25"/>
  </sheetData>
  <mergeCells count="102">
    <mergeCell ref="C1:F1"/>
    <mergeCell ref="G1:G3"/>
    <mergeCell ref="H1:H3"/>
    <mergeCell ref="I1:I3"/>
    <mergeCell ref="J1:J3"/>
    <mergeCell ref="K1:K3"/>
    <mergeCell ref="F2:F3"/>
    <mergeCell ref="T1:T3"/>
    <mergeCell ref="U1:U3"/>
    <mergeCell ref="V1:V3"/>
    <mergeCell ref="W1:W3"/>
    <mergeCell ref="L1:L3"/>
    <mergeCell ref="M1:M3"/>
    <mergeCell ref="N1:N3"/>
    <mergeCell ref="O1:O3"/>
    <mergeCell ref="P1:P3"/>
    <mergeCell ref="Q1:Q3"/>
    <mergeCell ref="AS1:AT2"/>
    <mergeCell ref="AU1:AV2"/>
    <mergeCell ref="AW1:AX2"/>
    <mergeCell ref="BR1:BS2"/>
    <mergeCell ref="CN1:CO2"/>
    <mergeCell ref="A2:A3"/>
    <mergeCell ref="B2:B3"/>
    <mergeCell ref="C2:C3"/>
    <mergeCell ref="D2:D3"/>
    <mergeCell ref="E2:E3"/>
    <mergeCell ref="AG1:AH2"/>
    <mergeCell ref="AI1:AJ2"/>
    <mergeCell ref="AK1:AL2"/>
    <mergeCell ref="AM1:AN2"/>
    <mergeCell ref="AO1:AP2"/>
    <mergeCell ref="AQ1:AR2"/>
    <mergeCell ref="X1:X3"/>
    <mergeCell ref="Y1:Y3"/>
    <mergeCell ref="Z1:Z3"/>
    <mergeCell ref="AA1:AB2"/>
    <mergeCell ref="AC1:AD2"/>
    <mergeCell ref="AE1:AF2"/>
    <mergeCell ref="R1:R3"/>
    <mergeCell ref="S1:S3"/>
    <mergeCell ref="B26:B34"/>
    <mergeCell ref="A35:A49"/>
    <mergeCell ref="B35:B38"/>
    <mergeCell ref="B39:B42"/>
    <mergeCell ref="B43:B45"/>
    <mergeCell ref="B46:B49"/>
    <mergeCell ref="B4:B6"/>
    <mergeCell ref="B8:B12"/>
    <mergeCell ref="B14:B16"/>
    <mergeCell ref="B18:B19"/>
    <mergeCell ref="B20:E20"/>
    <mergeCell ref="B21:B23"/>
    <mergeCell ref="A73:A85"/>
    <mergeCell ref="B73:B79"/>
    <mergeCell ref="B80:B81"/>
    <mergeCell ref="B82:B85"/>
    <mergeCell ref="A86:A92"/>
    <mergeCell ref="B86:B87"/>
    <mergeCell ref="B88:B92"/>
    <mergeCell ref="A50:A59"/>
    <mergeCell ref="B50:B51"/>
    <mergeCell ref="B52:B53"/>
    <mergeCell ref="B54:B59"/>
    <mergeCell ref="B60:E60"/>
    <mergeCell ref="A61:A72"/>
    <mergeCell ref="B61:B63"/>
    <mergeCell ref="B65:B72"/>
    <mergeCell ref="A127:A132"/>
    <mergeCell ref="B127:B129"/>
    <mergeCell ref="B133:D133"/>
    <mergeCell ref="C135:E135"/>
    <mergeCell ref="C146:D146"/>
    <mergeCell ref="D150:AW150"/>
    <mergeCell ref="B93:F93"/>
    <mergeCell ref="A95:A109"/>
    <mergeCell ref="B95:B102"/>
    <mergeCell ref="B106:B108"/>
    <mergeCell ref="B113:F113"/>
    <mergeCell ref="A114:A125"/>
    <mergeCell ref="B114:B116"/>
    <mergeCell ref="B117:B125"/>
    <mergeCell ref="D156:F156"/>
    <mergeCell ref="AX156:AY156"/>
    <mergeCell ref="D157:F157"/>
    <mergeCell ref="AX157:AY157"/>
    <mergeCell ref="AX151:AY151"/>
    <mergeCell ref="D152:F152"/>
    <mergeCell ref="AX152:AY152"/>
    <mergeCell ref="D153:F153"/>
    <mergeCell ref="AX153:AY153"/>
    <mergeCell ref="D154:F154"/>
    <mergeCell ref="AX154:AY154"/>
    <mergeCell ref="DJ145:DK145"/>
    <mergeCell ref="DJ130:DK130"/>
    <mergeCell ref="DJ132:DK132"/>
    <mergeCell ref="DJ134:DK134"/>
    <mergeCell ref="DJ138:DK138"/>
    <mergeCell ref="DJ141:DK141"/>
    <mergeCell ref="DJ135:DK135"/>
    <mergeCell ref="D155:F155"/>
    <mergeCell ref="AX155:AY155"/>
  </mergeCells>
  <printOptions horizontalCentered="1" verticalCentered="1"/>
  <pageMargins left="0.35433070866141736" right="0.27559055118110237" top="0.9055118110236221" bottom="0.47244094488188981" header="0.59055118110236227" footer="0.27559055118110237"/>
  <pageSetup scale="60" orientation="landscape" r:id="rId1"/>
  <headerFooter>
    <oddHeader xml:space="preserve">&amp;C&amp;"-,Negrita"&amp;14UNIVERSIDAD SURCOLOMBIANA PLAN DE ACCIÓN  VIGENCIA  2016
 RESOLUCION  232 DEL 19 DE SEPTIEMBRE DE
 DE 2016
</oddHeader>
    <oddFooter>&amp;LUNIDAD DE PLANEAMIENTO ECONÓMICO Y ADMINISTRATIVO&amp;COFICINA DE PLANEACIÓN&amp;RPágina &amp;P de &amp;N</oddFooter>
  </headerFooter>
  <rowBreaks count="1" manualBreakCount="1">
    <brk id="26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P.ACCION SEPTIEMBRE</vt:lpstr>
      <vt:lpstr>P.ACCION SEPTIEMBRE (2)</vt:lpstr>
      <vt:lpstr>P.ACCION SEPTIEMBRE CONSOLIDADO</vt:lpstr>
      <vt:lpstr>'P.ACCION SEPTIEMBRE'!Títulos_a_imprimir</vt:lpstr>
      <vt:lpstr>'P.ACCION SEPTIEMBRE (2)'!Títulos_a_imprimir</vt:lpstr>
      <vt:lpstr>'P.ACCION SEPTIEMBRE CONSOLIDADO'!Títulos_a_imprimir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Planeación</dc:creator>
  <cp:lastModifiedBy>Planeación</cp:lastModifiedBy>
  <dcterms:created xsi:type="dcterms:W3CDTF">2016-10-09T17:17:39Z</dcterms:created>
  <dcterms:modified xsi:type="dcterms:W3CDTF">2016-10-10T14:00:12Z</dcterms:modified>
</cp:coreProperties>
</file>